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35" yWindow="65446" windowWidth="23880" windowHeight="11850" tabRatio="575" activeTab="0"/>
  </bookViews>
  <sheets>
    <sheet name="Ожидаемое" sheetId="1" r:id="rId1"/>
  </sheets>
  <definedNames>
    <definedName name="_xlnm.Print_Titles" localSheetId="0">'Ожидаемое'!$4:$6</definedName>
  </definedNames>
  <calcPr fullCalcOnLoad="1"/>
</workbook>
</file>

<file path=xl/sharedStrings.xml><?xml version="1.0" encoding="utf-8"?>
<sst xmlns="http://schemas.openxmlformats.org/spreadsheetml/2006/main" count="154" uniqueCount="124">
  <si>
    <t>в том числе:</t>
  </si>
  <si>
    <t>х</t>
  </si>
  <si>
    <t>в том числе</t>
  </si>
  <si>
    <t>Наименование показателей</t>
  </si>
  <si>
    <t>Дефицит (-), профицит (+)</t>
  </si>
  <si>
    <t>1. Налоговые и неналоговые доходы всего:</t>
  </si>
  <si>
    <t>СПРАВОЧНО:</t>
  </si>
  <si>
    <t>Доп.норматив от НДФЛ (%%)</t>
  </si>
  <si>
    <t>Объем НДФЛ по допнормативу  (тыс. руб.)</t>
  </si>
  <si>
    <t>Объем НДФЛ без допнорматива (тыс. руб.)</t>
  </si>
  <si>
    <t>предельное значение, %%</t>
  </si>
  <si>
    <t>Источники финансирования дефицита</t>
  </si>
  <si>
    <t>Изменение остатков</t>
  </si>
  <si>
    <t xml:space="preserve">снижение  нецелевых остатков в связи с направлением их на расходы </t>
  </si>
  <si>
    <t>бюджетные кредиты</t>
  </si>
  <si>
    <t>кредиты коммерческих банков</t>
  </si>
  <si>
    <t>ценные бумаги</t>
  </si>
  <si>
    <t>Итого необеспеченный дефицит (обеспечен целевыми средствами)</t>
  </si>
  <si>
    <t>Муниципальный долг</t>
  </si>
  <si>
    <t>доходы всего на 1 жителя</t>
  </si>
  <si>
    <t>расходы всего на 1 жителя</t>
  </si>
  <si>
    <t xml:space="preserve">Штатная численность работников муниципальных учреждений  по полномочиям местного значения </t>
  </si>
  <si>
    <t xml:space="preserve">Численность работников органов местного самоуправления                 </t>
  </si>
  <si>
    <t>Количество муниципальных учреждений</t>
  </si>
  <si>
    <t>численность на 01.01.2016 года (тыс. чел) с 3-мя знаками после запятой</t>
  </si>
  <si>
    <t>в т.ч.</t>
  </si>
  <si>
    <t>налоговые доходы всего, из них:</t>
  </si>
  <si>
    <t>НДФЛ  всего</t>
  </si>
  <si>
    <t xml:space="preserve">акцизы </t>
  </si>
  <si>
    <t>УСН</t>
  </si>
  <si>
    <t>ЕНВД</t>
  </si>
  <si>
    <t>налог на имущество физических лиц</t>
  </si>
  <si>
    <t>земельный налог</t>
  </si>
  <si>
    <t>неналоговые доходы</t>
  </si>
  <si>
    <t>из них:</t>
  </si>
  <si>
    <t>доходы от использования имущества, находящегося в государственной и муниципальной собственности, из них</t>
  </si>
  <si>
    <t>арендная плата за земельные участки</t>
  </si>
  <si>
    <t xml:space="preserve">доходы от продажи материальных и нематериальных активов </t>
  </si>
  <si>
    <r>
      <t xml:space="preserve">2. Безвозмездные поступления, всего </t>
    </r>
    <r>
      <rPr>
        <b/>
        <u val="single"/>
        <sz val="11"/>
        <color indexed="8"/>
        <rFont val="Times New Roman"/>
        <family val="1"/>
      </rPr>
      <t>(нецелевые средства)</t>
    </r>
  </si>
  <si>
    <t>субвенции в РФФПП</t>
  </si>
  <si>
    <t>дотация на сбалансированность</t>
  </si>
  <si>
    <t>дотации из ФФФП (для городских округов)</t>
  </si>
  <si>
    <t>1) первоочередные (без учета средств на софинансирование), в т.ч.</t>
  </si>
  <si>
    <t>ФОТ с начисл. к собственным доходам (%)</t>
  </si>
  <si>
    <t>2) непервоочередные (без учета средств на софинансирование), в т.ч.</t>
  </si>
  <si>
    <t xml:space="preserve">3. Расходы на условиях софинансирования </t>
  </si>
  <si>
    <t>Утверждено по состоянию на 01.09.2016</t>
  </si>
  <si>
    <t>Объем оптимизации расходов 2016 года</t>
  </si>
  <si>
    <t>Ожидаемое исполнение на 2016 год (тыс. руб.)</t>
  </si>
  <si>
    <t>1.3) Обслуживание муниципального долга</t>
  </si>
  <si>
    <t>1.4.3) Коммунальные услуги</t>
  </si>
  <si>
    <t xml:space="preserve">1.4.4) Арендная плата за пользование имуществом </t>
  </si>
  <si>
    <t>1.4.2) Транспортные услуги</t>
  </si>
  <si>
    <t xml:space="preserve">1.4.1) Услуги связи </t>
  </si>
  <si>
    <t>1.4.5) Увеличение стоимости материальных запасов</t>
  </si>
  <si>
    <r>
      <t>Доходы всего</t>
    </r>
    <r>
      <rPr>
        <sz val="11"/>
        <color indexed="8"/>
        <rFont val="Times New Roman"/>
        <family val="1"/>
      </rPr>
      <t xml:space="preserve"> (налоговые и неналоговые доходы, нецелевая финансовая помощь ) </t>
    </r>
  </si>
  <si>
    <r>
      <t xml:space="preserve">из них </t>
    </r>
    <r>
      <rPr>
        <b/>
        <sz val="11"/>
        <color indexed="8"/>
        <rFont val="Times New Roman"/>
        <family val="1"/>
      </rPr>
      <t>целевые</t>
    </r>
    <r>
      <rPr>
        <sz val="11"/>
        <color indexed="8"/>
        <rFont val="Times New Roman"/>
        <family val="1"/>
      </rPr>
      <t xml:space="preserve"> остатки на 01.01.15, 01.01.16</t>
    </r>
  </si>
  <si>
    <t>тыс. рублей</t>
  </si>
  <si>
    <t xml:space="preserve">Объем Фонда финансовой поддержки муниципальных районов, городских округов </t>
  </si>
  <si>
    <t>дотации на выравнивание  бюджетной обеспеченности из ФФПМР(ГО)</t>
  </si>
  <si>
    <t xml:space="preserve">2.2) Социальная помощь населению </t>
  </si>
  <si>
    <t>2.6) Расходы на увеличение стоимости основных средств</t>
  </si>
  <si>
    <r>
      <t xml:space="preserve">2.7) Субсидии на иные цели бюджетным и автономным учреждениям </t>
    </r>
    <r>
      <rPr>
        <i/>
        <sz val="11"/>
        <color indexed="8"/>
        <rFont val="Times New Roman"/>
        <family val="1"/>
      </rPr>
      <t>(за исключением расходов включённых в п.2.3- 2.6.)</t>
    </r>
  </si>
  <si>
    <r>
      <t xml:space="preserve">* </t>
    </r>
    <r>
      <rPr>
        <b/>
        <sz val="12"/>
        <color indexed="8"/>
        <rFont val="Times New Roman"/>
        <family val="1"/>
      </rPr>
      <t>Расходы казённых, бюджетных и автономных учреждений</t>
    </r>
  </si>
  <si>
    <t>2.8) Другие расходы (расшифровать)</t>
  </si>
  <si>
    <t xml:space="preserve">Удельный вес первоочередных расходов в собственных доходах </t>
  </si>
  <si>
    <t>2.1) Субсидии юридическим лицам</t>
  </si>
  <si>
    <t xml:space="preserve">2.3) Расходы на капитальное строительство </t>
  </si>
  <si>
    <t>2.4.) Расходы на капитальный ремонт</t>
  </si>
  <si>
    <t>1.4.6) Расходы на текущее содержание зданий</t>
  </si>
  <si>
    <t>2.5) Расходы на приобретение объектов недвижимого имущества</t>
  </si>
  <si>
    <t xml:space="preserve">4. Дорожный фонд    </t>
  </si>
  <si>
    <t>Прочие безвозмездные поступления</t>
  </si>
  <si>
    <t>Частичная оплата стоимости питания отдельных категорий обучающихся в муниципальных общеобразовательных организациях города Кедрового, за исключением обучающихся с ограниченными возможностями здоровья</t>
  </si>
  <si>
    <t>Организация отдыха в лагерях с дневным пребыванием детей, организованных на базах общеобразовательных организаций</t>
  </si>
  <si>
    <t>Организация и проведение муниципальных официальных физкультурных и спортивных мероприятий, в том числе в образовательных учреждениях, а так же организация физкультурно-спортивной работы по месту жительства граждан</t>
  </si>
  <si>
    <t>Обеспечение участия спортивных сборных команд муниципального образования «Город Кедровый» в официальных региональных спортивных, физкультурных мероприятиях, проводимых на территории Томской области</t>
  </si>
  <si>
    <t>Основное мероприятие "Проведение ремонта и (или) переустройства в жилых помещениях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</t>
  </si>
  <si>
    <t>Проведение капитального ремонта объектов коммунальной инфраструктуры в целях подготовки хозяйственного комплекса города Кедрового к безаварийному прохождению отопительного сезона</t>
  </si>
  <si>
    <t>Прочие работы, услуги (КВР 244 КОСГУ 226)</t>
  </si>
  <si>
    <t>Прочие расходы (КВР 244 КОСГУ 290)</t>
  </si>
  <si>
    <t>Работы, услуги по содержанию имущества (кроме расходов на текущее содержание зданий)</t>
  </si>
  <si>
    <t>Создание в общеобразовательных организациях условий для инклюзивного образования детей-инвалидов, в том числе создание универсальной безбарьерной среды для беспрепятственного доступа и оснащение общеобразовательных организаций специальным, в том числе учебным, реабилитационным, компьютерным оборудованием и автотранспортом</t>
  </si>
  <si>
    <t>Предоставление социальных выплат молодым семьям для приобретения (строительства) жилья в рамках подпрограммы "Обеспечение жильем молодых семей в томской области" ГП "Обеспечение доступности жилья и улучшение качества жилищных условий населения томской области"</t>
  </si>
  <si>
    <t>Поддержки муниципальных программ развития малого и среднего предпринимательства</t>
  </si>
  <si>
    <t>Иные выплаты населению (КВР 360)</t>
  </si>
  <si>
    <t>Стипендии (КВР 340)</t>
  </si>
  <si>
    <t>Резервные средства (КВР 870)</t>
  </si>
  <si>
    <t>Премии и гранты (КВР 350)</t>
  </si>
  <si>
    <t>ГСМ</t>
  </si>
  <si>
    <t>дрова</t>
  </si>
  <si>
    <t>запасные части на автомобили</t>
  </si>
  <si>
    <t>бумага для офиса</t>
  </si>
  <si>
    <t>строительные материалы</t>
  </si>
  <si>
    <t>расходные материалы к оргтехнике</t>
  </si>
  <si>
    <t>канцелярские и хоз.товары</t>
  </si>
  <si>
    <t>продукция пожаро-технического назначения</t>
  </si>
  <si>
    <t xml:space="preserve">прочие </t>
  </si>
  <si>
    <t>спортивная форма и спортивные товары</t>
  </si>
  <si>
    <t>полиграфическая продукция</t>
  </si>
  <si>
    <t>медикаменты и медоборудован.для школьного кабинета</t>
  </si>
  <si>
    <t xml:space="preserve">субсидии </t>
  </si>
  <si>
    <t>субвенции</t>
  </si>
  <si>
    <t>иные межбюджетные трансферты</t>
  </si>
  <si>
    <t>Доходы от возврата остатков субсидий и субвенций прошлых лет</t>
  </si>
  <si>
    <t>Возврат остатков субсидий и субвенций прошлых лет</t>
  </si>
  <si>
    <t xml:space="preserve">3. Расходы - всего </t>
  </si>
  <si>
    <t>субвенции (без учета субвенции в РФФПП)</t>
  </si>
  <si>
    <t xml:space="preserve">субсидии  </t>
  </si>
  <si>
    <t xml:space="preserve">иные межбюджетные трансферты </t>
  </si>
  <si>
    <t>целевые остатки средств прошлых периодов</t>
  </si>
  <si>
    <t xml:space="preserve">Анализ ожидаемого исполнения консолидированного бюджета МО "Город Кедровый" в 2016 году </t>
  </si>
  <si>
    <t>Отклонение ожидаемого  от плана на 01.09.2016</t>
  </si>
  <si>
    <t>Темп роста ожидаемого2016 к исполнению 2015 года</t>
  </si>
  <si>
    <t>2015 год Исполнено</t>
  </si>
  <si>
    <t>6=гр.3-гр.5</t>
  </si>
  <si>
    <t>3.1.расходы за счет целевых средств областного и федерального бюджета, в т.ч.</t>
  </si>
  <si>
    <t>3.2.расходы за счет налоговых и неналоговых доходов, нецелевой финансовой  помощи из   областного  бюджета, прочих безвозмездных поступлений</t>
  </si>
  <si>
    <t>Руководиьтель отдела финансов и экономики</t>
  </si>
  <si>
    <t>И.Г. Ломакина</t>
  </si>
  <si>
    <r>
      <t>1.1) Общий объём фонда оплаты труда с начислениями</t>
    </r>
    <r>
      <rPr>
        <b/>
        <sz val="11"/>
        <color indexed="8"/>
        <rFont val="Times New Roman"/>
        <family val="1"/>
      </rPr>
      <t xml:space="preserve"> * </t>
    </r>
  </si>
  <si>
    <r>
      <t>1.2) Иные выплаты (за исключением фонда оплаты труда)</t>
    </r>
    <r>
      <rPr>
        <b/>
        <sz val="11"/>
        <color indexed="8"/>
        <rFont val="Times New Roman"/>
        <family val="1"/>
      </rPr>
      <t xml:space="preserve"> * </t>
    </r>
  </si>
  <si>
    <r>
      <t xml:space="preserve">1.4) Расходы на обеспечение муниципальных нужд </t>
    </r>
    <r>
      <rPr>
        <b/>
        <sz val="11"/>
        <color indexed="8"/>
        <rFont val="Times New Roman"/>
        <family val="1"/>
      </rPr>
      <t xml:space="preserve">* </t>
    </r>
    <r>
      <rPr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в т.ч.:</t>
    </r>
  </si>
  <si>
    <r>
      <t xml:space="preserve">1.5)  Налоги и сборы </t>
    </r>
    <r>
      <rPr>
        <b/>
        <sz val="11"/>
        <rFont val="Times New Roman"/>
        <family val="1"/>
      </rPr>
      <t>*</t>
    </r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</si>
</sst>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"/>
    <numFmt numFmtId="179" formatCode="#,##0_ ;[Red]\-#,##0\ 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"/>
    <numFmt numFmtId="185" formatCode="#,##0.0000"/>
    <numFmt numFmtId="186" formatCode="?"/>
    <numFmt numFmtId="187" formatCode="[$€-2]\ ###,000_);[Red]\([$€-2]\ ###,000\)"/>
    <numFmt numFmtId="188" formatCode="#,##0.0_р_."/>
    <numFmt numFmtId="189" formatCode="_-* #,##0.0_р_._-;\-* #,##0.0_р_._-;_-* &quot;-&quot;?_р_._-;_-@_-"/>
    <numFmt numFmtId="190" formatCode="[$-FC19]d\ mmmm\ yyyy\ &quot;г.&quot;"/>
    <numFmt numFmtId="191" formatCode="_-* #,##0_р_._-;\-* #,##0_р_._-;_-* &quot;-&quot;?_р_._-;_-@_-"/>
    <numFmt numFmtId="192" formatCode="#,##0.0_ ;\-#,##0.0\ "/>
    <numFmt numFmtId="193" formatCode="_-* #,##0.0_р_._-;\-* #,##0.0_р_._-;_-* &quot;-&quot;??_р_._-;_-@_-"/>
    <numFmt numFmtId="194" formatCode="_-* #,##0.00_р_._-;\-* #,##0.00_р_._-;_-* &quot;-&quot;?_р_._-;_-@_-"/>
    <numFmt numFmtId="195" formatCode="_-* #,##0.000_р_._-;\-* #,##0.000_р_._-;_-* &quot;-&quot;?_р_._-;_-@_-"/>
    <numFmt numFmtId="196" formatCode="_-* #,##0.0\ _₽_-;\-* #,##0.0\ _₽_-;_-* &quot;-&quot;?\ _₽_-;_-@_-"/>
    <numFmt numFmtId="197" formatCode="#,##0.00_р_."/>
  </numFmts>
  <fonts count="6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.5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name val="Arial Cyr"/>
      <family val="0"/>
    </font>
    <font>
      <b/>
      <u val="single"/>
      <sz val="11"/>
      <color indexed="8"/>
      <name val="Times New Roman"/>
      <family val="1"/>
    </font>
    <font>
      <i/>
      <sz val="10"/>
      <name val="Arial Cyr"/>
      <family val="0"/>
    </font>
    <font>
      <b/>
      <i/>
      <sz val="11"/>
      <color indexed="8"/>
      <name val="Times New Roman"/>
      <family val="1"/>
    </font>
    <font>
      <sz val="14"/>
      <name val="Times New Roman"/>
      <family val="1"/>
    </font>
    <font>
      <sz val="11.5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i/>
      <sz val="11"/>
      <name val="Arial Cyr"/>
      <family val="0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0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0" fontId="17" fillId="0" borderId="0" xfId="0" applyNumberFormat="1" applyFont="1" applyAlignment="1">
      <alignment/>
    </xf>
    <xf numFmtId="0" fontId="11" fillId="0" borderId="0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88" fontId="13" fillId="34" borderId="10" xfId="0" applyNumberFormat="1" applyFont="1" applyFill="1" applyBorder="1" applyAlignment="1">
      <alignment vertical="center" wrapText="1"/>
    </xf>
    <xf numFmtId="188" fontId="13" fillId="34" borderId="10" xfId="0" applyNumberFormat="1" applyFont="1" applyFill="1" applyBorder="1" applyAlignment="1">
      <alignment horizontal="center" vertical="center" wrapText="1"/>
    </xf>
    <xf numFmtId="4" fontId="13" fillId="34" borderId="10" xfId="0" applyNumberFormat="1" applyFont="1" applyFill="1" applyBorder="1" applyAlignment="1">
      <alignment vertical="center" wrapText="1"/>
    </xf>
    <xf numFmtId="10" fontId="13" fillId="34" borderId="10" xfId="0" applyNumberFormat="1" applyFont="1" applyFill="1" applyBorder="1" applyAlignment="1">
      <alignment vertical="center" wrapText="1"/>
    </xf>
    <xf numFmtId="188" fontId="13" fillId="35" borderId="10" xfId="0" applyNumberFormat="1" applyFont="1" applyFill="1" applyBorder="1" applyAlignment="1">
      <alignment vertical="center" wrapText="1"/>
    </xf>
    <xf numFmtId="188" fontId="13" fillId="35" borderId="10" xfId="0" applyNumberFormat="1" applyFont="1" applyFill="1" applyBorder="1" applyAlignment="1">
      <alignment horizontal="center" vertical="center" wrapText="1"/>
    </xf>
    <xf numFmtId="197" fontId="13" fillId="35" borderId="10" xfId="0" applyNumberFormat="1" applyFont="1" applyFill="1" applyBorder="1" applyAlignment="1">
      <alignment vertical="center" wrapText="1"/>
    </xf>
    <xf numFmtId="189" fontId="12" fillId="0" borderId="10" xfId="0" applyNumberFormat="1" applyFont="1" applyBorder="1" applyAlignment="1">
      <alignment vertical="center" wrapText="1"/>
    </xf>
    <xf numFmtId="188" fontId="12" fillId="0" borderId="10" xfId="0" applyNumberFormat="1" applyFont="1" applyBorder="1" applyAlignment="1">
      <alignment vertical="center" wrapText="1"/>
    </xf>
    <xf numFmtId="188" fontId="12" fillId="0" borderId="10" xfId="0" applyNumberFormat="1" applyFont="1" applyBorder="1" applyAlignment="1">
      <alignment horizontal="center" vertical="center" wrapText="1"/>
    </xf>
    <xf numFmtId="197" fontId="12" fillId="0" borderId="10" xfId="0" applyNumberFormat="1" applyFont="1" applyBorder="1" applyAlignment="1">
      <alignment vertical="center" wrapText="1"/>
    </xf>
    <xf numFmtId="197" fontId="12" fillId="0" borderId="10" xfId="0" applyNumberFormat="1" applyFont="1" applyBorder="1" applyAlignment="1">
      <alignment horizontal="right" vertical="center" wrapText="1"/>
    </xf>
    <xf numFmtId="197" fontId="12" fillId="0" borderId="10" xfId="0" applyNumberFormat="1" applyFont="1" applyFill="1" applyBorder="1" applyAlignment="1">
      <alignment vertical="center" wrapText="1"/>
    </xf>
    <xf numFmtId="197" fontId="12" fillId="0" borderId="10" xfId="0" applyNumberFormat="1" applyFont="1" applyFill="1" applyBorder="1" applyAlignment="1">
      <alignment horizontal="right" vertical="center" wrapText="1"/>
    </xf>
    <xf numFmtId="197" fontId="12" fillId="36" borderId="10" xfId="0" applyNumberFormat="1" applyFont="1" applyFill="1" applyBorder="1" applyAlignment="1">
      <alignment vertical="center" wrapText="1"/>
    </xf>
    <xf numFmtId="188" fontId="12" fillId="0" borderId="10" xfId="0" applyNumberFormat="1" applyFont="1" applyBorder="1" applyAlignment="1">
      <alignment horizontal="right" vertical="center" wrapText="1"/>
    </xf>
    <xf numFmtId="180" fontId="12" fillId="36" borderId="10" xfId="0" applyNumberFormat="1" applyFont="1" applyFill="1" applyBorder="1" applyAlignment="1">
      <alignment vertical="center" wrapText="1"/>
    </xf>
    <xf numFmtId="188" fontId="12" fillId="0" borderId="10" xfId="0" applyNumberFormat="1" applyFont="1" applyFill="1" applyBorder="1" applyAlignment="1">
      <alignment vertical="center" wrapText="1"/>
    </xf>
    <xf numFmtId="188" fontId="12" fillId="0" borderId="10" xfId="0" applyNumberFormat="1" applyFont="1" applyFill="1" applyBorder="1" applyAlignment="1">
      <alignment horizontal="right" vertical="center" wrapText="1"/>
    </xf>
    <xf numFmtId="189" fontId="12" fillId="0" borderId="10" xfId="0" applyNumberFormat="1" applyFont="1" applyFill="1" applyBorder="1" applyAlignment="1">
      <alignment vertical="center" wrapText="1"/>
    </xf>
    <xf numFmtId="189" fontId="13" fillId="37" borderId="10" xfId="0" applyNumberFormat="1" applyFont="1" applyFill="1" applyBorder="1" applyAlignment="1">
      <alignment vertical="center" wrapText="1"/>
    </xf>
    <xf numFmtId="188" fontId="13" fillId="37" borderId="10" xfId="0" applyNumberFormat="1" applyFont="1" applyFill="1" applyBorder="1" applyAlignment="1">
      <alignment vertical="center" wrapText="1"/>
    </xf>
    <xf numFmtId="188" fontId="13" fillId="37" borderId="10" xfId="0" applyNumberFormat="1" applyFont="1" applyFill="1" applyBorder="1" applyAlignment="1">
      <alignment horizontal="right" vertical="center" wrapText="1"/>
    </xf>
    <xf numFmtId="180" fontId="13" fillId="37" borderId="10" xfId="0" applyNumberFormat="1" applyFont="1" applyFill="1" applyBorder="1" applyAlignment="1">
      <alignment vertical="center" wrapText="1"/>
    </xf>
    <xf numFmtId="2" fontId="12" fillId="0" borderId="10" xfId="0" applyNumberFormat="1" applyFont="1" applyBorder="1" applyAlignment="1">
      <alignment vertical="center" wrapText="1"/>
    </xf>
    <xf numFmtId="192" fontId="12" fillId="0" borderId="10" xfId="0" applyNumberFormat="1" applyFont="1" applyBorder="1" applyAlignment="1">
      <alignment vertical="center" wrapText="1"/>
    </xf>
    <xf numFmtId="10" fontId="12" fillId="36" borderId="10" xfId="0" applyNumberFormat="1" applyFont="1" applyFill="1" applyBorder="1" applyAlignment="1">
      <alignment vertical="center" wrapText="1"/>
    </xf>
    <xf numFmtId="178" fontId="13" fillId="34" borderId="10" xfId="0" applyNumberFormat="1" applyFont="1" applyFill="1" applyBorder="1" applyAlignment="1">
      <alignment vertical="center" wrapText="1"/>
    </xf>
    <xf numFmtId="180" fontId="13" fillId="38" borderId="10" xfId="0" applyNumberFormat="1" applyFont="1" applyFill="1" applyBorder="1" applyAlignment="1">
      <alignment vertical="center" wrapText="1"/>
    </xf>
    <xf numFmtId="188" fontId="13" fillId="0" borderId="10" xfId="0" applyNumberFormat="1" applyFont="1" applyFill="1" applyBorder="1" applyAlignment="1">
      <alignment vertical="center" wrapText="1"/>
    </xf>
    <xf numFmtId="180" fontId="13" fillId="36" borderId="10" xfId="0" applyNumberFormat="1" applyFont="1" applyFill="1" applyBorder="1" applyAlignment="1">
      <alignment vertical="center" wrapText="1"/>
    </xf>
    <xf numFmtId="180" fontId="13" fillId="0" borderId="10" xfId="0" applyNumberFormat="1" applyFont="1" applyFill="1" applyBorder="1" applyAlignment="1">
      <alignment vertical="center" wrapText="1"/>
    </xf>
    <xf numFmtId="178" fontId="13" fillId="0" borderId="10" xfId="0" applyNumberFormat="1" applyFont="1" applyFill="1" applyBorder="1" applyAlignment="1">
      <alignment horizontal="left" vertical="center" wrapText="1" indent="1"/>
    </xf>
    <xf numFmtId="188" fontId="13" fillId="0" borderId="10" xfId="0" applyNumberFormat="1" applyFont="1" applyFill="1" applyBorder="1" applyAlignment="1">
      <alignment horizontal="left" vertical="center" wrapText="1" indent="1"/>
    </xf>
    <xf numFmtId="188" fontId="13" fillId="0" borderId="10" xfId="0" applyNumberFormat="1" applyFont="1" applyFill="1" applyBorder="1" applyAlignment="1">
      <alignment horizontal="right" vertical="center" wrapText="1"/>
    </xf>
    <xf numFmtId="180" fontId="13" fillId="35" borderId="10" xfId="0" applyNumberFormat="1" applyFont="1" applyFill="1" applyBorder="1" applyAlignment="1">
      <alignment vertical="center" wrapText="1"/>
    </xf>
    <xf numFmtId="178" fontId="12" fillId="0" borderId="10" xfId="0" applyNumberFormat="1" applyFont="1" applyBorder="1" applyAlignment="1">
      <alignment vertical="center" wrapText="1"/>
    </xf>
    <xf numFmtId="180" fontId="14" fillId="0" borderId="10" xfId="0" applyNumberFormat="1" applyFont="1" applyBorder="1" applyAlignment="1">
      <alignment vertical="center" wrapText="1"/>
    </xf>
    <xf numFmtId="178" fontId="12" fillId="0" borderId="10" xfId="62" applyNumberFormat="1" applyFont="1" applyBorder="1" applyAlignment="1">
      <alignment vertical="center" wrapText="1"/>
    </xf>
    <xf numFmtId="2" fontId="14" fillId="0" borderId="10" xfId="62" applyNumberFormat="1" applyFont="1" applyBorder="1" applyAlignment="1">
      <alignment vertical="center" wrapText="1"/>
    </xf>
    <xf numFmtId="178" fontId="14" fillId="0" borderId="10" xfId="0" applyNumberFormat="1" applyFont="1" applyBorder="1" applyAlignment="1">
      <alignment vertical="center" wrapText="1"/>
    </xf>
    <xf numFmtId="188" fontId="14" fillId="0" borderId="10" xfId="0" applyNumberFormat="1" applyFont="1" applyBorder="1" applyAlignment="1">
      <alignment vertical="center" wrapText="1"/>
    </xf>
    <xf numFmtId="188" fontId="14" fillId="0" borderId="10" xfId="0" applyNumberFormat="1" applyFont="1" applyBorder="1" applyAlignment="1">
      <alignment horizontal="right" vertical="center" wrapText="1"/>
    </xf>
    <xf numFmtId="180" fontId="12" fillId="0" borderId="10" xfId="0" applyNumberFormat="1" applyFont="1" applyBorder="1" applyAlignment="1">
      <alignment vertical="center" wrapText="1"/>
    </xf>
    <xf numFmtId="180" fontId="12" fillId="0" borderId="10" xfId="0" applyNumberFormat="1" applyFont="1" applyBorder="1" applyAlignment="1">
      <alignment horizontal="right" vertical="center" wrapText="1"/>
    </xf>
    <xf numFmtId="189" fontId="13" fillId="34" borderId="10" xfId="0" applyNumberFormat="1" applyFont="1" applyFill="1" applyBorder="1" applyAlignment="1">
      <alignment vertical="center" wrapText="1"/>
    </xf>
    <xf numFmtId="180" fontId="13" fillId="34" borderId="10" xfId="0" applyNumberFormat="1" applyFont="1" applyFill="1" applyBorder="1" applyAlignment="1">
      <alignment vertical="center" wrapText="1"/>
    </xf>
    <xf numFmtId="188" fontId="13" fillId="34" borderId="10" xfId="0" applyNumberFormat="1" applyFont="1" applyFill="1" applyBorder="1" applyAlignment="1">
      <alignment horizontal="right" vertical="center" wrapText="1"/>
    </xf>
    <xf numFmtId="178" fontId="2" fillId="0" borderId="10" xfId="0" applyNumberFormat="1" applyFont="1" applyBorder="1" applyAlignment="1">
      <alignment vertical="center" wrapText="1"/>
    </xf>
    <xf numFmtId="188" fontId="2" fillId="0" borderId="10" xfId="0" applyNumberFormat="1" applyFont="1" applyBorder="1" applyAlignment="1">
      <alignment vertical="center" wrapText="1"/>
    </xf>
    <xf numFmtId="178" fontId="25" fillId="0" borderId="10" xfId="0" applyNumberFormat="1" applyFont="1" applyBorder="1" applyAlignment="1">
      <alignment vertical="center" wrapText="1"/>
    </xf>
    <xf numFmtId="188" fontId="25" fillId="0" borderId="10" xfId="0" applyNumberFormat="1" applyFont="1" applyBorder="1" applyAlignment="1">
      <alignment vertical="center" wrapText="1"/>
    </xf>
    <xf numFmtId="178" fontId="18" fillId="34" borderId="10" xfId="0" applyNumberFormat="1" applyFont="1" applyFill="1" applyBorder="1" applyAlignment="1">
      <alignment vertical="center" wrapText="1"/>
    </xf>
    <xf numFmtId="188" fontId="18" fillId="34" borderId="10" xfId="0" applyNumberFormat="1" applyFont="1" applyFill="1" applyBorder="1" applyAlignment="1">
      <alignment vertical="center" wrapText="1"/>
    </xf>
    <xf numFmtId="176" fontId="13" fillId="34" borderId="10" xfId="0" applyNumberFormat="1" applyFont="1" applyFill="1" applyBorder="1" applyAlignment="1">
      <alignment vertical="center" wrapText="1"/>
    </xf>
    <xf numFmtId="1" fontId="13" fillId="34" borderId="10" xfId="0" applyNumberFormat="1" applyFont="1" applyFill="1" applyBorder="1" applyAlignment="1">
      <alignment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justify" vertical="top" wrapText="1"/>
    </xf>
    <xf numFmtId="0" fontId="13" fillId="35" borderId="10" xfId="0" applyFont="1" applyFill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0" fontId="14" fillId="0" borderId="10" xfId="0" applyFont="1" applyBorder="1" applyAlignment="1">
      <alignment horizontal="justify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13" fillId="37" borderId="10" xfId="0" applyFont="1" applyFill="1" applyBorder="1" applyAlignment="1">
      <alignment horizontal="justify" vertical="top" wrapText="1"/>
    </xf>
    <xf numFmtId="178" fontId="13" fillId="34" borderId="10" xfId="0" applyNumberFormat="1" applyFont="1" applyFill="1" applyBorder="1" applyAlignment="1">
      <alignment horizontal="justify" vertical="top" wrapText="1"/>
    </xf>
    <xf numFmtId="0" fontId="13" fillId="0" borderId="1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189" fontId="13" fillId="34" borderId="10" xfId="0" applyNumberFormat="1" applyFont="1" applyFill="1" applyBorder="1" applyAlignment="1">
      <alignment horizontal="justify" vertical="top" wrapText="1"/>
    </xf>
    <xf numFmtId="186" fontId="2" fillId="0" borderId="10" xfId="0" applyNumberFormat="1" applyFont="1" applyBorder="1" applyAlignment="1">
      <alignment horizontal="justify" vertical="top" wrapText="1"/>
    </xf>
    <xf numFmtId="180" fontId="14" fillId="0" borderId="10" xfId="0" applyNumberFormat="1" applyFont="1" applyBorder="1" applyAlignment="1">
      <alignment horizontal="justify" vertical="top" wrapText="1"/>
    </xf>
    <xf numFmtId="0" fontId="18" fillId="34" borderId="10" xfId="0" applyFont="1" applyFill="1" applyBorder="1" applyAlignment="1">
      <alignment horizontal="justify" vertical="top" wrapText="1"/>
    </xf>
    <xf numFmtId="0" fontId="9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80" fontId="9" fillId="0" borderId="10" xfId="0" applyNumberFormat="1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123"/>
  <sheetViews>
    <sheetView tabSelected="1" workbookViewId="0" topLeftCell="A1">
      <pane xSplit="1" ySplit="6" topLeftCell="B9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111" sqref="L111"/>
    </sheetView>
  </sheetViews>
  <sheetFormatPr defaultColWidth="9.00390625" defaultRowHeight="12.75"/>
  <cols>
    <col min="1" max="1" width="48.125" style="0" customWidth="1"/>
    <col min="2" max="2" width="13.125" style="0" customWidth="1"/>
    <col min="3" max="3" width="15.25390625" style="0" customWidth="1"/>
    <col min="4" max="4" width="13.25390625" style="0" customWidth="1"/>
    <col min="5" max="5" width="12.375" style="0" customWidth="1"/>
    <col min="6" max="6" width="14.875" style="0" customWidth="1"/>
    <col min="7" max="7" width="14.00390625" style="0" customWidth="1"/>
  </cols>
  <sheetData>
    <row r="1" spans="1:7" s="2" customFormat="1" ht="28.5" customHeight="1">
      <c r="A1" s="21" t="s">
        <v>111</v>
      </c>
      <c r="B1" s="21"/>
      <c r="C1" s="21"/>
      <c r="D1" s="21"/>
      <c r="E1" s="21"/>
      <c r="F1" s="21"/>
      <c r="G1" s="21"/>
    </row>
    <row r="2" spans="1:7" s="2" customFormat="1" ht="18.75">
      <c r="A2" s="20"/>
      <c r="B2" s="20"/>
      <c r="C2" s="20"/>
      <c r="D2" s="20"/>
      <c r="E2" s="20"/>
      <c r="F2" s="20"/>
      <c r="G2" s="20"/>
    </row>
    <row r="3" spans="1:7" ht="15">
      <c r="A3" s="14" t="s">
        <v>57</v>
      </c>
      <c r="B3" s="5"/>
      <c r="C3" s="5"/>
      <c r="D3" s="5"/>
      <c r="E3" s="5"/>
      <c r="F3" s="5"/>
      <c r="G3" s="5"/>
    </row>
    <row r="4" spans="1:7" ht="12.75">
      <c r="A4" s="22" t="s">
        <v>3</v>
      </c>
      <c r="B4" s="22" t="s">
        <v>114</v>
      </c>
      <c r="C4" s="22" t="s">
        <v>46</v>
      </c>
      <c r="D4" s="22" t="s">
        <v>47</v>
      </c>
      <c r="E4" s="22" t="s">
        <v>48</v>
      </c>
      <c r="F4" s="22" t="s">
        <v>112</v>
      </c>
      <c r="G4" s="22" t="s">
        <v>113</v>
      </c>
    </row>
    <row r="5" spans="1:7" ht="53.25" customHeight="1">
      <c r="A5" s="22"/>
      <c r="B5" s="22"/>
      <c r="C5" s="22"/>
      <c r="D5" s="22"/>
      <c r="E5" s="95"/>
      <c r="F5" s="22"/>
      <c r="G5" s="22"/>
    </row>
    <row r="6" spans="1:7" ht="15">
      <c r="A6" s="96">
        <v>1</v>
      </c>
      <c r="B6" s="96">
        <v>2</v>
      </c>
      <c r="C6" s="23">
        <v>3</v>
      </c>
      <c r="D6" s="23">
        <v>4</v>
      </c>
      <c r="E6" s="23">
        <v>5</v>
      </c>
      <c r="F6" s="23" t="s">
        <v>115</v>
      </c>
      <c r="G6" s="23">
        <v>7</v>
      </c>
    </row>
    <row r="7" spans="1:58" s="6" customFormat="1" ht="30">
      <c r="A7" s="81" t="s">
        <v>55</v>
      </c>
      <c r="B7" s="24">
        <f>B8+B27</f>
        <v>147645.19999999998</v>
      </c>
      <c r="C7" s="24">
        <f>C8+C27</f>
        <v>151702.7</v>
      </c>
      <c r="D7" s="25" t="s">
        <v>1</v>
      </c>
      <c r="E7" s="26">
        <f>E8+E27</f>
        <v>149411.2</v>
      </c>
      <c r="F7" s="26">
        <f>F8+F27</f>
        <v>-2291.499999999999</v>
      </c>
      <c r="G7" s="27">
        <f>E7/B7</f>
        <v>1.0119611067613443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</row>
    <row r="8" spans="1:7" ht="14.25">
      <c r="A8" s="82" t="s">
        <v>5</v>
      </c>
      <c r="B8" s="28">
        <f>B10+B17</f>
        <v>28831.3</v>
      </c>
      <c r="C8" s="28">
        <f>C10+C17</f>
        <v>30000</v>
      </c>
      <c r="D8" s="29" t="s">
        <v>1</v>
      </c>
      <c r="E8" s="30">
        <f>E10+E17</f>
        <v>26895.7</v>
      </c>
      <c r="F8" s="30">
        <f>F10+F17</f>
        <v>-3104.2999999999993</v>
      </c>
      <c r="G8" s="27">
        <f>E8/B8</f>
        <v>0.9328646297600178</v>
      </c>
    </row>
    <row r="9" spans="1:7" ht="15">
      <c r="A9" s="83" t="s">
        <v>25</v>
      </c>
      <c r="B9" s="31"/>
      <c r="C9" s="32"/>
      <c r="D9" s="33" t="s">
        <v>1</v>
      </c>
      <c r="E9" s="34"/>
      <c r="F9" s="35">
        <f aca="true" t="shared" si="0" ref="F9:F17">E9-C9</f>
        <v>0</v>
      </c>
      <c r="G9" s="34"/>
    </row>
    <row r="10" spans="1:7" ht="15">
      <c r="A10" s="83" t="s">
        <v>26</v>
      </c>
      <c r="B10" s="31">
        <v>15537.3</v>
      </c>
      <c r="C10" s="32">
        <v>17325.2</v>
      </c>
      <c r="D10" s="33" t="s">
        <v>1</v>
      </c>
      <c r="E10" s="36">
        <f>C10+F11+F13+F14</f>
        <v>16512.4</v>
      </c>
      <c r="F10" s="37">
        <f t="shared" si="0"/>
        <v>-812.7999999999993</v>
      </c>
      <c r="G10" s="38">
        <f aca="true" t="shared" si="1" ref="G10:G17">E10/B10</f>
        <v>1.062758651760602</v>
      </c>
    </row>
    <row r="11" spans="1:7" ht="15">
      <c r="A11" s="83" t="s">
        <v>27</v>
      </c>
      <c r="B11" s="31">
        <v>10461</v>
      </c>
      <c r="C11" s="32">
        <v>11065</v>
      </c>
      <c r="D11" s="33" t="s">
        <v>1</v>
      </c>
      <c r="E11" s="32">
        <f>11065-812.8</f>
        <v>10252.2</v>
      </c>
      <c r="F11" s="39">
        <f t="shared" si="0"/>
        <v>-812.7999999999993</v>
      </c>
      <c r="G11" s="40">
        <f t="shared" si="1"/>
        <v>0.9800401491253227</v>
      </c>
    </row>
    <row r="12" spans="1:7" ht="15">
      <c r="A12" s="83" t="s">
        <v>28</v>
      </c>
      <c r="B12" s="31">
        <v>1524.9</v>
      </c>
      <c r="C12" s="32">
        <v>2194</v>
      </c>
      <c r="D12" s="33" t="s">
        <v>1</v>
      </c>
      <c r="E12" s="32">
        <v>2194</v>
      </c>
      <c r="F12" s="39">
        <f t="shared" si="0"/>
        <v>0</v>
      </c>
      <c r="G12" s="40">
        <f t="shared" si="1"/>
        <v>1.438782871007935</v>
      </c>
    </row>
    <row r="13" spans="1:7" ht="15">
      <c r="A13" s="83" t="s">
        <v>29</v>
      </c>
      <c r="B13" s="31">
        <v>879.2</v>
      </c>
      <c r="C13" s="32">
        <v>1223</v>
      </c>
      <c r="D13" s="33" t="s">
        <v>1</v>
      </c>
      <c r="E13" s="32">
        <v>1423</v>
      </c>
      <c r="F13" s="39">
        <f t="shared" si="0"/>
        <v>200</v>
      </c>
      <c r="G13" s="40">
        <f t="shared" si="1"/>
        <v>1.6185168334849862</v>
      </c>
    </row>
    <row r="14" spans="1:7" ht="15">
      <c r="A14" s="83" t="s">
        <v>30</v>
      </c>
      <c r="B14" s="31">
        <v>1889.5</v>
      </c>
      <c r="C14" s="32">
        <v>1980</v>
      </c>
      <c r="D14" s="33" t="s">
        <v>1</v>
      </c>
      <c r="E14" s="32">
        <v>1780</v>
      </c>
      <c r="F14" s="39">
        <f t="shared" si="0"/>
        <v>-200</v>
      </c>
      <c r="G14" s="40">
        <f t="shared" si="1"/>
        <v>0.9420481608891241</v>
      </c>
    </row>
    <row r="15" spans="1:7" ht="15">
      <c r="A15" s="83" t="s">
        <v>31</v>
      </c>
      <c r="B15" s="31">
        <v>57.6</v>
      </c>
      <c r="C15" s="32">
        <v>76</v>
      </c>
      <c r="D15" s="33" t="s">
        <v>1</v>
      </c>
      <c r="E15" s="32">
        <v>76</v>
      </c>
      <c r="F15" s="39">
        <f t="shared" si="0"/>
        <v>0</v>
      </c>
      <c r="G15" s="40">
        <f t="shared" si="1"/>
        <v>1.3194444444444444</v>
      </c>
    </row>
    <row r="16" spans="1:7" ht="15">
      <c r="A16" s="83" t="s">
        <v>32</v>
      </c>
      <c r="B16" s="31">
        <v>269.2</v>
      </c>
      <c r="C16" s="32">
        <v>348</v>
      </c>
      <c r="D16" s="33" t="s">
        <v>1</v>
      </c>
      <c r="E16" s="32">
        <v>348</v>
      </c>
      <c r="F16" s="39">
        <f t="shared" si="0"/>
        <v>0</v>
      </c>
      <c r="G16" s="40">
        <f t="shared" si="1"/>
        <v>1.2927191679049035</v>
      </c>
    </row>
    <row r="17" spans="1:7" ht="15">
      <c r="A17" s="83" t="s">
        <v>33</v>
      </c>
      <c r="B17" s="31">
        <v>13294</v>
      </c>
      <c r="C17" s="32">
        <v>12674.8</v>
      </c>
      <c r="D17" s="33" t="s">
        <v>1</v>
      </c>
      <c r="E17" s="41">
        <v>10383.3</v>
      </c>
      <c r="F17" s="42">
        <f t="shared" si="0"/>
        <v>-2291.5</v>
      </c>
      <c r="G17" s="40">
        <f t="shared" si="1"/>
        <v>0.7810516022265683</v>
      </c>
    </row>
    <row r="18" spans="1:7" ht="15">
      <c r="A18" s="83" t="s">
        <v>34</v>
      </c>
      <c r="B18" s="31"/>
      <c r="C18" s="32"/>
      <c r="D18" s="33" t="s">
        <v>1</v>
      </c>
      <c r="E18" s="41"/>
      <c r="F18" s="42"/>
      <c r="G18" s="40"/>
    </row>
    <row r="19" spans="1:7" ht="45">
      <c r="A19" s="83" t="s">
        <v>35</v>
      </c>
      <c r="B19" s="31">
        <v>9000</v>
      </c>
      <c r="C19" s="32">
        <v>8480</v>
      </c>
      <c r="D19" s="33" t="s">
        <v>1</v>
      </c>
      <c r="E19" s="41">
        <v>6930</v>
      </c>
      <c r="F19" s="42">
        <f aca="true" t="shared" si="2" ref="F19:F25">E19-C19</f>
        <v>-1550</v>
      </c>
      <c r="G19" s="40">
        <f>E19/B19</f>
        <v>0.77</v>
      </c>
    </row>
    <row r="20" spans="1:7" ht="15">
      <c r="A20" s="84" t="s">
        <v>36</v>
      </c>
      <c r="B20" s="31">
        <v>9000</v>
      </c>
      <c r="C20" s="32">
        <v>8480</v>
      </c>
      <c r="D20" s="33" t="s">
        <v>1</v>
      </c>
      <c r="E20" s="41">
        <v>6930</v>
      </c>
      <c r="F20" s="42">
        <f t="shared" si="2"/>
        <v>-1550</v>
      </c>
      <c r="G20" s="40">
        <f>E20/B20</f>
        <v>0.77</v>
      </c>
    </row>
    <row r="21" spans="1:7" ht="30">
      <c r="A21" s="85" t="s">
        <v>37</v>
      </c>
      <c r="B21" s="43">
        <v>476.3</v>
      </c>
      <c r="C21" s="32">
        <v>295</v>
      </c>
      <c r="D21" s="33" t="s">
        <v>1</v>
      </c>
      <c r="E21" s="41">
        <v>643</v>
      </c>
      <c r="F21" s="42">
        <f t="shared" si="2"/>
        <v>348</v>
      </c>
      <c r="G21" s="40">
        <f>E21/B21</f>
        <v>1.3499895024144446</v>
      </c>
    </row>
    <row r="22" spans="1:7" s="7" customFormat="1" ht="15">
      <c r="A22" s="86" t="s">
        <v>6</v>
      </c>
      <c r="B22" s="44"/>
      <c r="C22" s="45"/>
      <c r="D22" s="45"/>
      <c r="E22" s="45"/>
      <c r="F22" s="46">
        <f t="shared" si="2"/>
        <v>0</v>
      </c>
      <c r="G22" s="47"/>
    </row>
    <row r="23" spans="1:7" ht="15">
      <c r="A23" s="83" t="s">
        <v>7</v>
      </c>
      <c r="B23" s="48"/>
      <c r="C23" s="32"/>
      <c r="D23" s="33" t="s">
        <v>1</v>
      </c>
      <c r="E23" s="41"/>
      <c r="F23" s="39">
        <f t="shared" si="2"/>
        <v>0</v>
      </c>
      <c r="G23" s="40"/>
    </row>
    <row r="24" spans="1:7" ht="15">
      <c r="A24" s="83" t="s">
        <v>8</v>
      </c>
      <c r="B24" s="31"/>
      <c r="C24" s="32"/>
      <c r="D24" s="33" t="s">
        <v>1</v>
      </c>
      <c r="E24" s="41"/>
      <c r="F24" s="39">
        <f t="shared" si="2"/>
        <v>0</v>
      </c>
      <c r="G24" s="40"/>
    </row>
    <row r="25" spans="1:7" ht="15">
      <c r="A25" s="83" t="s">
        <v>9</v>
      </c>
      <c r="B25" s="31"/>
      <c r="C25" s="32"/>
      <c r="D25" s="33" t="s">
        <v>1</v>
      </c>
      <c r="E25" s="41"/>
      <c r="F25" s="39">
        <f t="shared" si="2"/>
        <v>0</v>
      </c>
      <c r="G25" s="40"/>
    </row>
    <row r="26" spans="1:7" ht="30">
      <c r="A26" s="83" t="s">
        <v>58</v>
      </c>
      <c r="B26" s="49">
        <f>B24+B29</f>
        <v>28639</v>
      </c>
      <c r="C26" s="49">
        <f>C24+C29</f>
        <v>29563.4</v>
      </c>
      <c r="D26" s="49"/>
      <c r="E26" s="49">
        <f>E24+E29</f>
        <v>29563.4</v>
      </c>
      <c r="F26" s="49">
        <f>F24+F29</f>
        <v>0</v>
      </c>
      <c r="G26" s="40"/>
    </row>
    <row r="27" spans="1:7" s="7" customFormat="1" ht="28.5">
      <c r="A27" s="82" t="s">
        <v>38</v>
      </c>
      <c r="B27" s="28">
        <f>B29+B30+B31+B32+B36+B33+B34+B35+B37+B38</f>
        <v>118813.89999999998</v>
      </c>
      <c r="C27" s="28">
        <f>C29+C30+C31+C32+C36+C33+C34+C35+C37+C38</f>
        <v>121702.70000000001</v>
      </c>
      <c r="D27" s="28"/>
      <c r="E27" s="30">
        <f>E29+E30+E31+E32+E36+E33+E34+E35+E37+E38</f>
        <v>122515.5</v>
      </c>
      <c r="F27" s="30">
        <f>F29+F30+F31+F32+F36+F33+F34+F35+F37+F38</f>
        <v>812.8</v>
      </c>
      <c r="G27" s="50">
        <f>E27/B27</f>
        <v>1.0311546039646877</v>
      </c>
    </row>
    <row r="28" spans="1:7" ht="15">
      <c r="A28" s="84" t="s">
        <v>2</v>
      </c>
      <c r="B28" s="31"/>
      <c r="C28" s="32"/>
      <c r="D28" s="33"/>
      <c r="E28" s="32"/>
      <c r="F28" s="39"/>
      <c r="G28" s="40"/>
    </row>
    <row r="29" spans="1:7" ht="30">
      <c r="A29" s="83" t="s">
        <v>59</v>
      </c>
      <c r="B29" s="31">
        <v>28639</v>
      </c>
      <c r="C29" s="32">
        <v>29563.4</v>
      </c>
      <c r="D29" s="33" t="s">
        <v>1</v>
      </c>
      <c r="E29" s="32">
        <v>29563.4</v>
      </c>
      <c r="F29" s="39">
        <f>E29-C29</f>
        <v>0</v>
      </c>
      <c r="G29" s="40">
        <f>E29/B29</f>
        <v>1.0322776633262336</v>
      </c>
    </row>
    <row r="30" spans="1:7" ht="15">
      <c r="A30" s="83" t="s">
        <v>39</v>
      </c>
      <c r="B30" s="31"/>
      <c r="C30" s="32"/>
      <c r="D30" s="33" t="s">
        <v>1</v>
      </c>
      <c r="E30" s="32"/>
      <c r="F30" s="39">
        <f>E30-C30</f>
        <v>0</v>
      </c>
      <c r="G30" s="40"/>
    </row>
    <row r="31" spans="1:7" ht="15">
      <c r="A31" s="83" t="s">
        <v>40</v>
      </c>
      <c r="B31" s="31">
        <v>13765</v>
      </c>
      <c r="C31" s="32">
        <v>13960.9</v>
      </c>
      <c r="D31" s="33" t="s">
        <v>1</v>
      </c>
      <c r="E31" s="32">
        <v>13960.9</v>
      </c>
      <c r="F31" s="39">
        <f>E31-C31</f>
        <v>0</v>
      </c>
      <c r="G31" s="40">
        <f>E31/B31</f>
        <v>1.0142317471848892</v>
      </c>
    </row>
    <row r="32" spans="1:7" ht="15">
      <c r="A32" s="83" t="s">
        <v>41</v>
      </c>
      <c r="B32" s="31">
        <v>3505.3</v>
      </c>
      <c r="C32" s="32">
        <v>3835.2</v>
      </c>
      <c r="D32" s="33" t="s">
        <v>1</v>
      </c>
      <c r="E32" s="32">
        <v>3835.2</v>
      </c>
      <c r="F32" s="39">
        <f>E32-C32</f>
        <v>0</v>
      </c>
      <c r="G32" s="40">
        <f aca="true" t="shared" si="3" ref="G32:G44">E32/B32</f>
        <v>1.0941146264228454</v>
      </c>
    </row>
    <row r="33" spans="1:7" ht="15">
      <c r="A33" s="83" t="s">
        <v>101</v>
      </c>
      <c r="B33" s="31">
        <v>6464.8</v>
      </c>
      <c r="C33" s="32">
        <v>12336.6</v>
      </c>
      <c r="D33" s="33" t="s">
        <v>1</v>
      </c>
      <c r="E33" s="32">
        <v>12336.6</v>
      </c>
      <c r="F33" s="39"/>
      <c r="G33" s="40">
        <f t="shared" si="3"/>
        <v>1.9082724910283382</v>
      </c>
    </row>
    <row r="34" spans="1:7" ht="15">
      <c r="A34" s="83" t="s">
        <v>102</v>
      </c>
      <c r="B34" s="31">
        <v>48444.6</v>
      </c>
      <c r="C34" s="32">
        <v>48003.8</v>
      </c>
      <c r="D34" s="33" t="s">
        <v>1</v>
      </c>
      <c r="E34" s="32">
        <v>48003.8</v>
      </c>
      <c r="F34" s="39"/>
      <c r="G34" s="40">
        <f t="shared" si="3"/>
        <v>0.9909009466483365</v>
      </c>
    </row>
    <row r="35" spans="1:7" ht="15">
      <c r="A35" s="83" t="s">
        <v>103</v>
      </c>
      <c r="B35" s="31">
        <v>16473.4</v>
      </c>
      <c r="C35" s="32">
        <v>15240</v>
      </c>
      <c r="D35" s="33" t="s">
        <v>1</v>
      </c>
      <c r="E35" s="32">
        <v>15240</v>
      </c>
      <c r="F35" s="39"/>
      <c r="G35" s="40">
        <f t="shared" si="3"/>
        <v>0.9251277817572571</v>
      </c>
    </row>
    <row r="36" spans="1:7" ht="15">
      <c r="A36" s="83" t="s">
        <v>72</v>
      </c>
      <c r="B36" s="31">
        <v>1208.2</v>
      </c>
      <c r="C36" s="32">
        <v>832.2</v>
      </c>
      <c r="D36" s="33" t="s">
        <v>1</v>
      </c>
      <c r="E36" s="32">
        <v>1645</v>
      </c>
      <c r="F36" s="39">
        <f>E36-C36</f>
        <v>812.8</v>
      </c>
      <c r="G36" s="40">
        <f t="shared" si="3"/>
        <v>1.361529548088065</v>
      </c>
    </row>
    <row r="37" spans="1:7" ht="30">
      <c r="A37" s="83" t="s">
        <v>104</v>
      </c>
      <c r="B37" s="31">
        <v>1361.2</v>
      </c>
      <c r="C37" s="32">
        <v>916.6</v>
      </c>
      <c r="D37" s="33" t="s">
        <v>1</v>
      </c>
      <c r="E37" s="32">
        <v>916.6</v>
      </c>
      <c r="F37" s="39"/>
      <c r="G37" s="40">
        <f t="shared" si="3"/>
        <v>0.6733764325595063</v>
      </c>
    </row>
    <row r="38" spans="1:7" ht="30">
      <c r="A38" s="83" t="s">
        <v>105</v>
      </c>
      <c r="B38" s="31">
        <v>-1047.6</v>
      </c>
      <c r="C38" s="32">
        <v>-2986</v>
      </c>
      <c r="D38" s="33" t="s">
        <v>1</v>
      </c>
      <c r="E38" s="32">
        <v>-2986</v>
      </c>
      <c r="F38" s="39"/>
      <c r="G38" s="40">
        <f t="shared" si="3"/>
        <v>2.8503245513554796</v>
      </c>
    </row>
    <row r="39" spans="1:7" ht="14.25">
      <c r="A39" s="87" t="s">
        <v>106</v>
      </c>
      <c r="B39" s="51">
        <f>B40+B45</f>
        <v>150038.82</v>
      </c>
      <c r="C39" s="51">
        <f>C40+C45</f>
        <v>153499.77</v>
      </c>
      <c r="D39" s="51">
        <f>D40+D45</f>
        <v>3057.79</v>
      </c>
      <c r="E39" s="51">
        <f>E40+E45</f>
        <v>151208.21999999997</v>
      </c>
      <c r="F39" s="51">
        <f>F40+F45</f>
        <v>-2291.549999999994</v>
      </c>
      <c r="G39" s="52">
        <f t="shared" si="3"/>
        <v>1.0077939829172209</v>
      </c>
    </row>
    <row r="40" spans="1:7" ht="28.5">
      <c r="A40" s="88" t="s">
        <v>116</v>
      </c>
      <c r="B40" s="53">
        <f>SUM(B41:B44)</f>
        <v>75159.90000000001</v>
      </c>
      <c r="C40" s="53">
        <f>SUM(C41:C44)</f>
        <v>75580.29999999999</v>
      </c>
      <c r="D40" s="53">
        <f>SUM(D41:D44)</f>
        <v>0</v>
      </c>
      <c r="E40" s="53">
        <f>SUM(E41:E44)</f>
        <v>75580.29999999999</v>
      </c>
      <c r="F40" s="53">
        <f>SUM(F41:F44)</f>
        <v>0</v>
      </c>
      <c r="G40" s="54">
        <f t="shared" si="3"/>
        <v>1.0055934081870783</v>
      </c>
    </row>
    <row r="41" spans="1:7" ht="15">
      <c r="A41" s="83" t="s">
        <v>107</v>
      </c>
      <c r="B41" s="32">
        <v>46677.8</v>
      </c>
      <c r="C41" s="32">
        <f>47074+929.7</f>
        <v>48003.7</v>
      </c>
      <c r="D41" s="33">
        <v>0</v>
      </c>
      <c r="E41" s="32">
        <f>47074+929.7</f>
        <v>48003.7</v>
      </c>
      <c r="F41" s="39">
        <f>E41-C41</f>
        <v>0</v>
      </c>
      <c r="G41" s="40">
        <f t="shared" si="3"/>
        <v>1.0284053661483616</v>
      </c>
    </row>
    <row r="42" spans="1:7" ht="15">
      <c r="A42" s="83" t="s">
        <v>108</v>
      </c>
      <c r="B42" s="32">
        <v>6266.9</v>
      </c>
      <c r="C42" s="32">
        <v>12336.6</v>
      </c>
      <c r="D42" s="33">
        <v>0</v>
      </c>
      <c r="E42" s="32">
        <v>12336.6</v>
      </c>
      <c r="F42" s="39">
        <f>E42-C42</f>
        <v>0</v>
      </c>
      <c r="G42" s="40">
        <f t="shared" si="3"/>
        <v>1.9685330865340123</v>
      </c>
    </row>
    <row r="43" spans="1:7" ht="15">
      <c r="A43" s="83" t="s">
        <v>109</v>
      </c>
      <c r="B43" s="32">
        <f>16389.8-113.7</f>
        <v>16276.099999999999</v>
      </c>
      <c r="C43" s="32">
        <f>13580.3+1.1+1658.6</f>
        <v>15240</v>
      </c>
      <c r="D43" s="33">
        <v>0</v>
      </c>
      <c r="E43" s="32">
        <f>13580.3+1.1+1658.6</f>
        <v>15240</v>
      </c>
      <c r="F43" s="39">
        <f>E43-C43</f>
        <v>0</v>
      </c>
      <c r="G43" s="40">
        <f t="shared" si="3"/>
        <v>0.936342244149397</v>
      </c>
    </row>
    <row r="44" spans="1:7" ht="15">
      <c r="A44" s="83" t="s">
        <v>110</v>
      </c>
      <c r="B44" s="32">
        <v>5939.1</v>
      </c>
      <c r="C44" s="32">
        <v>0</v>
      </c>
      <c r="D44" s="33">
        <v>0</v>
      </c>
      <c r="E44" s="32">
        <v>0</v>
      </c>
      <c r="F44" s="39">
        <f>E44-C44</f>
        <v>0</v>
      </c>
      <c r="G44" s="40">
        <f t="shared" si="3"/>
        <v>0</v>
      </c>
    </row>
    <row r="45" spans="1:7" s="18" customFormat="1" ht="71.25">
      <c r="A45" s="88" t="s">
        <v>117</v>
      </c>
      <c r="B45" s="53">
        <f>B47+B74+B90+B100</f>
        <v>74878.92</v>
      </c>
      <c r="C45" s="53">
        <f>C47+C74+C90+C100</f>
        <v>77919.47</v>
      </c>
      <c r="D45" s="53">
        <f>D47+D74+D90+D100</f>
        <v>3057.79</v>
      </c>
      <c r="E45" s="53">
        <f>E47+E74+E90+E100</f>
        <v>75627.92</v>
      </c>
      <c r="F45" s="53">
        <f>F47+F74+F90+F100</f>
        <v>-2291.549999999994</v>
      </c>
      <c r="G45" s="55">
        <f>E45/B45</f>
        <v>1.0100028152115441</v>
      </c>
    </row>
    <row r="46" spans="1:7" ht="14.25">
      <c r="A46" s="88" t="s">
        <v>2</v>
      </c>
      <c r="B46" s="56"/>
      <c r="C46" s="57"/>
      <c r="D46" s="57"/>
      <c r="E46" s="57"/>
      <c r="F46" s="58"/>
      <c r="G46" s="97"/>
    </row>
    <row r="47" spans="1:7" s="7" customFormat="1" ht="28.5">
      <c r="A47" s="82" t="s">
        <v>42</v>
      </c>
      <c r="B47" s="28">
        <f>B48+B49+B52+B53+B54+B55+B71+B56+B50+B70</f>
        <v>59697.700000000004</v>
      </c>
      <c r="C47" s="28">
        <f>C48+C49+C52+C53+C54+C55+C71+C56+C50+C70</f>
        <v>60291.200000000004</v>
      </c>
      <c r="D47" s="28">
        <f>D48+D49+D52+D53+D54+D55+D71+D56+D50+D70</f>
        <v>1692.78</v>
      </c>
      <c r="E47" s="28">
        <f>E48+E49+E52+E53+E54+E55+E71+E56+E50+E70</f>
        <v>60016.51</v>
      </c>
      <c r="F47" s="28">
        <f>F48+F49+F52+F53+F54+F55+F71+F56+F50+F70</f>
        <v>-274.68999999999437</v>
      </c>
      <c r="G47" s="59">
        <f aca="true" t="shared" si="4" ref="G47:G54">E47/B47</f>
        <v>1.0053404067493388</v>
      </c>
    </row>
    <row r="48" spans="1:7" s="1" customFormat="1" ht="30">
      <c r="A48" s="83" t="s">
        <v>120</v>
      </c>
      <c r="B48" s="60">
        <f>35834.53+9394</f>
        <v>45228.53</v>
      </c>
      <c r="C48" s="32">
        <f>37751.86+5756.5</f>
        <v>43508.36</v>
      </c>
      <c r="D48" s="32">
        <f>714.49+119</f>
        <v>833.49</v>
      </c>
      <c r="E48" s="32">
        <f>C48+766.3-181.7+360+98</f>
        <v>44550.96000000001</v>
      </c>
      <c r="F48" s="39">
        <f>E48-C48</f>
        <v>1042.6000000000058</v>
      </c>
      <c r="G48" s="61">
        <f t="shared" si="4"/>
        <v>0.9850189692214186</v>
      </c>
    </row>
    <row r="49" spans="1:7" s="9" customFormat="1" ht="30">
      <c r="A49" s="83" t="s">
        <v>121</v>
      </c>
      <c r="B49" s="60">
        <f>1589.34+529.5</f>
        <v>2118.84</v>
      </c>
      <c r="C49" s="32">
        <f>1461.25+1221.5</f>
        <v>2682.75</v>
      </c>
      <c r="D49" s="32">
        <v>227.51</v>
      </c>
      <c r="E49" s="32">
        <f>C49-D49</f>
        <v>2455.24</v>
      </c>
      <c r="F49" s="39">
        <f>E49-C49</f>
        <v>-227.51000000000022</v>
      </c>
      <c r="G49" s="61">
        <f t="shared" si="4"/>
        <v>1.158766117309471</v>
      </c>
    </row>
    <row r="50" spans="1:7" s="9" customFormat="1" ht="15">
      <c r="A50" s="89" t="s">
        <v>49</v>
      </c>
      <c r="B50" s="60">
        <v>180.82</v>
      </c>
      <c r="C50" s="32">
        <v>165</v>
      </c>
      <c r="D50" s="32">
        <v>74</v>
      </c>
      <c r="E50" s="32">
        <f>C50-D50</f>
        <v>91</v>
      </c>
      <c r="F50" s="39">
        <f>E50-C50</f>
        <v>-74</v>
      </c>
      <c r="G50" s="61">
        <f t="shared" si="4"/>
        <v>0.503262913394536</v>
      </c>
    </row>
    <row r="51" spans="1:7" s="9" customFormat="1" ht="30">
      <c r="A51" s="83" t="s">
        <v>122</v>
      </c>
      <c r="B51" s="62">
        <f>B52+B53+B54+B55+B56+B70+B71</f>
        <v>12169.51</v>
      </c>
      <c r="C51" s="62">
        <f>C52+C53+C54+C55+C56+C70+C71</f>
        <v>13935.09</v>
      </c>
      <c r="D51" s="62">
        <f>D52+D53+D54+D55+D56+D70+D71</f>
        <v>557.78</v>
      </c>
      <c r="E51" s="62">
        <f>E52+E53+E54+E55+E56+E70+E71</f>
        <v>12919.31</v>
      </c>
      <c r="F51" s="62">
        <f>F52+F53+F54+F55+F56+F70+F71</f>
        <v>-1015.78</v>
      </c>
      <c r="G51" s="63">
        <f t="shared" si="4"/>
        <v>1.0616129983869522</v>
      </c>
    </row>
    <row r="52" spans="1:7" s="8" customFormat="1" ht="15">
      <c r="A52" s="84" t="s">
        <v>53</v>
      </c>
      <c r="B52" s="64">
        <f>930.11+214.6</f>
        <v>1144.71</v>
      </c>
      <c r="C52" s="65">
        <f>1030.05+318.5</f>
        <v>1348.55</v>
      </c>
      <c r="D52" s="65">
        <v>16.23</v>
      </c>
      <c r="E52" s="32">
        <f>C52-D52</f>
        <v>1332.32</v>
      </c>
      <c r="F52" s="39">
        <f>E52-C52</f>
        <v>-16.230000000000018</v>
      </c>
      <c r="G52" s="61">
        <f t="shared" si="4"/>
        <v>1.1638930384114754</v>
      </c>
    </row>
    <row r="53" spans="1:7" s="8" customFormat="1" ht="15">
      <c r="A53" s="84" t="s">
        <v>52</v>
      </c>
      <c r="B53" s="64">
        <f>219.67+132.7</f>
        <v>352.37</v>
      </c>
      <c r="C53" s="65">
        <f>112.17+116.6</f>
        <v>228.76999999999998</v>
      </c>
      <c r="D53" s="65">
        <v>15</v>
      </c>
      <c r="E53" s="32">
        <f>C53-D53</f>
        <v>213.76999999999998</v>
      </c>
      <c r="F53" s="39">
        <f>E53-C53</f>
        <v>-15</v>
      </c>
      <c r="G53" s="61">
        <f t="shared" si="4"/>
        <v>0.6066634503504839</v>
      </c>
    </row>
    <row r="54" spans="1:7" s="8" customFormat="1" ht="15">
      <c r="A54" s="84" t="s">
        <v>50</v>
      </c>
      <c r="B54" s="64">
        <f>1556.8+4571.5</f>
        <v>6128.3</v>
      </c>
      <c r="C54" s="65">
        <f>2263.26+4469</f>
        <v>6732.26</v>
      </c>
      <c r="D54" s="65">
        <v>20</v>
      </c>
      <c r="E54" s="32">
        <f>C54-D54</f>
        <v>6712.26</v>
      </c>
      <c r="F54" s="39">
        <f>E54-C54</f>
        <v>-20</v>
      </c>
      <c r="G54" s="61">
        <f t="shared" si="4"/>
        <v>1.0952890687466346</v>
      </c>
    </row>
    <row r="55" spans="1:7" s="8" customFormat="1" ht="30">
      <c r="A55" s="84" t="s">
        <v>51</v>
      </c>
      <c r="B55" s="64">
        <v>0</v>
      </c>
      <c r="C55" s="65">
        <v>0</v>
      </c>
      <c r="D55" s="65">
        <v>0</v>
      </c>
      <c r="E55" s="32">
        <f>C55-D55</f>
        <v>0</v>
      </c>
      <c r="F55" s="39">
        <f>E55-C55</f>
        <v>0</v>
      </c>
      <c r="G55" s="61"/>
    </row>
    <row r="56" spans="1:7" s="8" customFormat="1" ht="30">
      <c r="A56" s="90" t="s">
        <v>54</v>
      </c>
      <c r="B56" s="64">
        <f>1402.09+1725.7</f>
        <v>3127.79</v>
      </c>
      <c r="C56" s="65">
        <f>1713.19+2451.2</f>
        <v>4164.389999999999</v>
      </c>
      <c r="D56" s="65">
        <f>103.81+327</f>
        <v>430.81</v>
      </c>
      <c r="E56" s="32">
        <f>C56-D56-360-98</f>
        <v>3275.5799999999995</v>
      </c>
      <c r="F56" s="66">
        <f>E56-C56</f>
        <v>-888.81</v>
      </c>
      <c r="G56" s="61">
        <f>E56/B56</f>
        <v>1.0472506146512393</v>
      </c>
    </row>
    <row r="57" spans="1:7" s="8" customFormat="1" ht="15">
      <c r="A57" s="90" t="s">
        <v>0</v>
      </c>
      <c r="B57" s="64"/>
      <c r="C57" s="65"/>
      <c r="D57" s="65"/>
      <c r="E57" s="32"/>
      <c r="F57" s="66"/>
      <c r="G57" s="61"/>
    </row>
    <row r="58" spans="1:7" s="8" customFormat="1" ht="15">
      <c r="A58" s="90" t="s">
        <v>89</v>
      </c>
      <c r="B58" s="64">
        <f>284.2+45.5+1.4+8.7+40+56</f>
        <v>435.79999999999995</v>
      </c>
      <c r="C58" s="65">
        <f>363.9+381.3+28.8</f>
        <v>774</v>
      </c>
      <c r="D58" s="65"/>
      <c r="E58" s="65">
        <f>363.9+381.3+28.8</f>
        <v>774</v>
      </c>
      <c r="F58" s="39">
        <f aca="true" t="shared" si="5" ref="F58:F73">E58-C58</f>
        <v>0</v>
      </c>
      <c r="G58" s="61">
        <f aca="true" t="shared" si="6" ref="G58:G68">E58/B58</f>
        <v>1.776044056906838</v>
      </c>
    </row>
    <row r="59" spans="1:7" s="8" customFormat="1" ht="15">
      <c r="A59" s="90" t="s">
        <v>90</v>
      </c>
      <c r="B59" s="64">
        <v>990</v>
      </c>
      <c r="C59" s="65">
        <v>900</v>
      </c>
      <c r="D59" s="65"/>
      <c r="E59" s="65">
        <f>80.8+776</f>
        <v>856.8</v>
      </c>
      <c r="F59" s="39">
        <f t="shared" si="5"/>
        <v>-43.200000000000045</v>
      </c>
      <c r="G59" s="61">
        <f t="shared" si="6"/>
        <v>0.8654545454545454</v>
      </c>
    </row>
    <row r="60" spans="1:7" s="8" customFormat="1" ht="15">
      <c r="A60" s="90" t="s">
        <v>91</v>
      </c>
      <c r="B60" s="64">
        <f>92.1+395.2</f>
        <v>487.29999999999995</v>
      </c>
      <c r="C60" s="65">
        <f>199.1+3+3.5+120</f>
        <v>325.6</v>
      </c>
      <c r="D60" s="65"/>
      <c r="E60" s="65">
        <f>199.1+3+3.5</f>
        <v>205.6</v>
      </c>
      <c r="F60" s="39">
        <f t="shared" si="5"/>
        <v>-120.00000000000003</v>
      </c>
      <c r="G60" s="61">
        <f t="shared" si="6"/>
        <v>0.4219166837676996</v>
      </c>
    </row>
    <row r="61" spans="1:7" s="8" customFormat="1" ht="15">
      <c r="A61" s="90" t="s">
        <v>92</v>
      </c>
      <c r="B61" s="64">
        <f>168.9+10.7</f>
        <v>179.6</v>
      </c>
      <c r="C61" s="65">
        <v>178.3</v>
      </c>
      <c r="D61" s="65"/>
      <c r="E61" s="65">
        <v>178.3</v>
      </c>
      <c r="F61" s="39">
        <f t="shared" si="5"/>
        <v>0</v>
      </c>
      <c r="G61" s="61">
        <f t="shared" si="6"/>
        <v>0.9927616926503342</v>
      </c>
    </row>
    <row r="62" spans="1:7" s="8" customFormat="1" ht="15">
      <c r="A62" s="90" t="s">
        <v>93</v>
      </c>
      <c r="B62" s="64">
        <f>182.9+78.3</f>
        <v>261.2</v>
      </c>
      <c r="C62" s="65">
        <f>99.4+34.9+182.9</f>
        <v>317.20000000000005</v>
      </c>
      <c r="D62" s="65"/>
      <c r="E62" s="65">
        <f>99.4+34.9+182.9</f>
        <v>317.20000000000005</v>
      </c>
      <c r="F62" s="39">
        <f t="shared" si="5"/>
        <v>0</v>
      </c>
      <c r="G62" s="61">
        <f t="shared" si="6"/>
        <v>1.2143950995405821</v>
      </c>
    </row>
    <row r="63" spans="1:7" s="8" customFormat="1" ht="15">
      <c r="A63" s="90" t="s">
        <v>94</v>
      </c>
      <c r="B63" s="64">
        <f>161.9+80.58+33</f>
        <v>275.48</v>
      </c>
      <c r="C63" s="65">
        <f>92.3+53.7</f>
        <v>146</v>
      </c>
      <c r="D63" s="65"/>
      <c r="E63" s="65">
        <v>146</v>
      </c>
      <c r="F63" s="39">
        <f t="shared" si="5"/>
        <v>0</v>
      </c>
      <c r="G63" s="61">
        <f t="shared" si="6"/>
        <v>0.5299840278786119</v>
      </c>
    </row>
    <row r="64" spans="1:7" s="8" customFormat="1" ht="15">
      <c r="A64" s="90" t="s">
        <v>95</v>
      </c>
      <c r="B64" s="64">
        <f>94.6+150</f>
        <v>244.6</v>
      </c>
      <c r="C64" s="65">
        <f>137.7+81.7</f>
        <v>219.39999999999998</v>
      </c>
      <c r="D64" s="65"/>
      <c r="E64" s="65">
        <f>137.7+81.7</f>
        <v>219.39999999999998</v>
      </c>
      <c r="F64" s="39">
        <f t="shared" si="5"/>
        <v>0</v>
      </c>
      <c r="G64" s="61">
        <f t="shared" si="6"/>
        <v>0.8969746524938674</v>
      </c>
    </row>
    <row r="65" spans="1:7" s="8" customFormat="1" ht="15">
      <c r="A65" s="90" t="s">
        <v>96</v>
      </c>
      <c r="B65" s="64">
        <f>36.1+12</f>
        <v>48.1</v>
      </c>
      <c r="C65" s="65">
        <f>22.9+22.9</f>
        <v>45.8</v>
      </c>
      <c r="D65" s="65"/>
      <c r="E65" s="65">
        <f>22.9+22.9</f>
        <v>45.8</v>
      </c>
      <c r="F65" s="39">
        <f t="shared" si="5"/>
        <v>0</v>
      </c>
      <c r="G65" s="61">
        <f t="shared" si="6"/>
        <v>0.9521829521829521</v>
      </c>
    </row>
    <row r="66" spans="1:7" s="8" customFormat="1" ht="30">
      <c r="A66" s="90" t="s">
        <v>100</v>
      </c>
      <c r="B66" s="64">
        <v>0</v>
      </c>
      <c r="C66" s="65">
        <v>36</v>
      </c>
      <c r="D66" s="65"/>
      <c r="E66" s="65">
        <v>36</v>
      </c>
      <c r="F66" s="39">
        <f t="shared" si="5"/>
        <v>0</v>
      </c>
      <c r="G66" s="61"/>
    </row>
    <row r="67" spans="1:7" s="8" customFormat="1" ht="15">
      <c r="A67" s="90" t="s">
        <v>99</v>
      </c>
      <c r="B67" s="64">
        <v>21</v>
      </c>
      <c r="C67" s="65">
        <f>23.7+3.5+7.7+2.1+3</f>
        <v>40</v>
      </c>
      <c r="D67" s="65"/>
      <c r="E67" s="65">
        <f>23.7+3.5+7.7+2.1+3</f>
        <v>40</v>
      </c>
      <c r="F67" s="39">
        <f t="shared" si="5"/>
        <v>0</v>
      </c>
      <c r="G67" s="61">
        <f t="shared" si="6"/>
        <v>1.9047619047619047</v>
      </c>
    </row>
    <row r="68" spans="1:7" s="8" customFormat="1" ht="15">
      <c r="A68" s="90" t="s">
        <v>98</v>
      </c>
      <c r="B68" s="64">
        <v>28</v>
      </c>
      <c r="C68" s="65">
        <v>88</v>
      </c>
      <c r="D68" s="65"/>
      <c r="E68" s="65">
        <v>88</v>
      </c>
      <c r="F68" s="39">
        <f t="shared" si="5"/>
        <v>0</v>
      </c>
      <c r="G68" s="61">
        <f t="shared" si="6"/>
        <v>3.142857142857143</v>
      </c>
    </row>
    <row r="69" spans="1:7" s="8" customFormat="1" ht="15">
      <c r="A69" s="84" t="s">
        <v>97</v>
      </c>
      <c r="B69" s="64">
        <f>B56-B58-B59-B60-B61-B62-B63-B64-B65-B68-B67+B66</f>
        <v>156.70999999999987</v>
      </c>
      <c r="C69" s="64">
        <f>C56-C58-C59-C60-C61-C62-C63-C64-C65-C68-C67-C66</f>
        <v>1094.0899999999995</v>
      </c>
      <c r="D69" s="65">
        <v>430.8</v>
      </c>
      <c r="E69" s="64">
        <f>E56-E58-E59-E60-E61-E62-E63-E64-E65-E66-E67-E68</f>
        <v>368.4799999999997</v>
      </c>
      <c r="F69" s="39">
        <f t="shared" si="5"/>
        <v>-725.6099999999998</v>
      </c>
      <c r="G69" s="61">
        <f aca="true" t="shared" si="7" ref="G69:G76">E69/B69</f>
        <v>2.351349626698998</v>
      </c>
    </row>
    <row r="70" spans="1:7" s="8" customFormat="1" ht="15">
      <c r="A70" s="90" t="s">
        <v>69</v>
      </c>
      <c r="B70" s="64">
        <f>436.24+780.7</f>
        <v>1216.94</v>
      </c>
      <c r="C70" s="65">
        <f>509.02+730.1</f>
        <v>1239.12</v>
      </c>
      <c r="D70" s="65">
        <f>56.74+19</f>
        <v>75.74000000000001</v>
      </c>
      <c r="E70" s="32">
        <f>C70-D70</f>
        <v>1163.3799999999999</v>
      </c>
      <c r="F70" s="66">
        <f t="shared" si="5"/>
        <v>-75.74000000000001</v>
      </c>
      <c r="G70" s="61">
        <f t="shared" si="7"/>
        <v>0.9559879698259568</v>
      </c>
    </row>
    <row r="71" spans="1:7" s="9" customFormat="1" ht="15">
      <c r="A71" s="89" t="s">
        <v>123</v>
      </c>
      <c r="B71" s="60">
        <f>148.4+51</f>
        <v>199.4</v>
      </c>
      <c r="C71" s="32">
        <f>146+76</f>
        <v>222</v>
      </c>
      <c r="D71" s="32"/>
      <c r="E71" s="32">
        <f>C71-D71</f>
        <v>222</v>
      </c>
      <c r="F71" s="39">
        <f t="shared" si="5"/>
        <v>0</v>
      </c>
      <c r="G71" s="61">
        <f t="shared" si="7"/>
        <v>1.1133400200601804</v>
      </c>
    </row>
    <row r="72" spans="1:7" ht="30">
      <c r="A72" s="83" t="s">
        <v>65</v>
      </c>
      <c r="B72" s="60">
        <f>B47/B7</f>
        <v>0.4043321421895193</v>
      </c>
      <c r="C72" s="67">
        <f>C47/C7</f>
        <v>0.39742997323053575</v>
      </c>
      <c r="D72" s="67"/>
      <c r="E72" s="67">
        <f>E47/E7</f>
        <v>0.40168682133601763</v>
      </c>
      <c r="F72" s="68">
        <f t="shared" si="5"/>
        <v>0.004256848105481881</v>
      </c>
      <c r="G72" s="67">
        <f t="shared" si="7"/>
        <v>0.993457554872643</v>
      </c>
    </row>
    <row r="73" spans="1:7" ht="15">
      <c r="A73" s="83" t="s">
        <v>43</v>
      </c>
      <c r="B73" s="60">
        <f>B48/B7</f>
        <v>0.30633254585993996</v>
      </c>
      <c r="C73" s="67">
        <f>C48/C7</f>
        <v>0.2868001690147901</v>
      </c>
      <c r="D73" s="67"/>
      <c r="E73" s="67">
        <f>E48/E7</f>
        <v>0.2981768435030306</v>
      </c>
      <c r="F73" s="68">
        <f t="shared" si="5"/>
        <v>0.011376674488240479</v>
      </c>
      <c r="G73" s="67">
        <f t="shared" si="7"/>
        <v>0.9733763112436695</v>
      </c>
    </row>
    <row r="74" spans="1:7" s="7" customFormat="1" ht="28.5">
      <c r="A74" s="82" t="s">
        <v>44</v>
      </c>
      <c r="B74" s="28">
        <f>B75+B76+B77+B80+B81+B82+B78+B79</f>
        <v>10454.79</v>
      </c>
      <c r="C74" s="28">
        <f>C75+C76+C77+C80+C81+C82+C78+C79</f>
        <v>10828.619999999997</v>
      </c>
      <c r="D74" s="28">
        <f>D75+D76+D77+D80+D81+D82+D78+D79</f>
        <v>1282.51</v>
      </c>
      <c r="E74" s="28">
        <f>E75+E76+E77+E80+E81+E82+E78+E79</f>
        <v>8894.21</v>
      </c>
      <c r="F74" s="28">
        <f>F75+F76+F77+F80+F81+F82+F78+F79</f>
        <v>-1934.4099999999994</v>
      </c>
      <c r="G74" s="59">
        <f t="shared" si="7"/>
        <v>0.8507306220402321</v>
      </c>
    </row>
    <row r="75" spans="1:7" s="9" customFormat="1" ht="15">
      <c r="A75" s="83" t="s">
        <v>66</v>
      </c>
      <c r="B75" s="60">
        <v>995</v>
      </c>
      <c r="C75" s="32">
        <v>1224.24</v>
      </c>
      <c r="D75" s="32">
        <v>25</v>
      </c>
      <c r="E75" s="32">
        <f aca="true" t="shared" si="8" ref="E75:E81">C75-D75</f>
        <v>1199.24</v>
      </c>
      <c r="F75" s="39">
        <f aca="true" t="shared" si="9" ref="F75:F89">E75-C75</f>
        <v>-25</v>
      </c>
      <c r="G75" s="61">
        <f t="shared" si="7"/>
        <v>1.2052663316582914</v>
      </c>
    </row>
    <row r="76" spans="1:7" s="9" customFormat="1" ht="15">
      <c r="A76" s="83" t="s">
        <v>60</v>
      </c>
      <c r="B76" s="60">
        <v>902.54</v>
      </c>
      <c r="C76" s="32">
        <v>65.36</v>
      </c>
      <c r="D76" s="32"/>
      <c r="E76" s="32">
        <f t="shared" si="8"/>
        <v>65.36</v>
      </c>
      <c r="F76" s="39">
        <f t="shared" si="9"/>
        <v>0</v>
      </c>
      <c r="G76" s="61">
        <f t="shared" si="7"/>
        <v>0.07241784297648858</v>
      </c>
    </row>
    <row r="77" spans="1:7" s="9" customFormat="1" ht="15">
      <c r="A77" s="83" t="s">
        <v>67</v>
      </c>
      <c r="B77" s="60"/>
      <c r="C77" s="32">
        <v>0</v>
      </c>
      <c r="D77" s="32"/>
      <c r="E77" s="32">
        <f t="shared" si="8"/>
        <v>0</v>
      </c>
      <c r="F77" s="39">
        <f t="shared" si="9"/>
        <v>0</v>
      </c>
      <c r="G77" s="61">
        <v>0</v>
      </c>
    </row>
    <row r="78" spans="1:7" s="9" customFormat="1" ht="15">
      <c r="A78" s="83" t="s">
        <v>68</v>
      </c>
      <c r="B78" s="60">
        <v>1575.31</v>
      </c>
      <c r="C78" s="32">
        <v>1452.06</v>
      </c>
      <c r="D78" s="32">
        <v>200</v>
      </c>
      <c r="E78" s="32">
        <f t="shared" si="8"/>
        <v>1252.06</v>
      </c>
      <c r="F78" s="39">
        <f t="shared" si="9"/>
        <v>-200</v>
      </c>
      <c r="G78" s="61">
        <f>E78/B78</f>
        <v>0.7948022928820359</v>
      </c>
    </row>
    <row r="79" spans="1:7" s="9" customFormat="1" ht="30">
      <c r="A79" s="83" t="s">
        <v>70</v>
      </c>
      <c r="B79" s="60">
        <v>202.94</v>
      </c>
      <c r="C79" s="32"/>
      <c r="D79" s="32"/>
      <c r="E79" s="32">
        <f t="shared" si="8"/>
        <v>0</v>
      </c>
      <c r="F79" s="39">
        <f t="shared" si="9"/>
        <v>0</v>
      </c>
      <c r="G79" s="61">
        <f>E79/B79</f>
        <v>0</v>
      </c>
    </row>
    <row r="80" spans="1:7" s="9" customFormat="1" ht="30">
      <c r="A80" s="83" t="s">
        <v>61</v>
      </c>
      <c r="B80" s="60">
        <v>196.28</v>
      </c>
      <c r="C80" s="32">
        <v>1076.64</v>
      </c>
      <c r="D80" s="32">
        <f>159.73+60</f>
        <v>219.73</v>
      </c>
      <c r="E80" s="32">
        <f t="shared" si="8"/>
        <v>856.9100000000001</v>
      </c>
      <c r="F80" s="39">
        <f t="shared" si="9"/>
        <v>-219.73000000000002</v>
      </c>
      <c r="G80" s="61">
        <f>E80/B80</f>
        <v>4.365753005909925</v>
      </c>
    </row>
    <row r="81" spans="1:7" s="9" customFormat="1" ht="45">
      <c r="A81" s="83" t="s">
        <v>62</v>
      </c>
      <c r="B81" s="60">
        <f>1271.2+1679.2</f>
        <v>2950.4</v>
      </c>
      <c r="C81" s="32">
        <f>576.79+755.5</f>
        <v>1332.29</v>
      </c>
      <c r="D81" s="32">
        <v>21.08</v>
      </c>
      <c r="E81" s="32">
        <f t="shared" si="8"/>
        <v>1311.21</v>
      </c>
      <c r="F81" s="39">
        <f t="shared" si="9"/>
        <v>-21.079999999999927</v>
      </c>
      <c r="G81" s="61">
        <f>E81/B81</f>
        <v>0.4444177060737527</v>
      </c>
    </row>
    <row r="82" spans="1:7" s="9" customFormat="1" ht="15">
      <c r="A82" s="83" t="s">
        <v>64</v>
      </c>
      <c r="B82" s="60">
        <f>SUM(B83:B89)</f>
        <v>3632.3199999999997</v>
      </c>
      <c r="C82" s="32">
        <f>SUM(C83:C89)</f>
        <v>5678.029999999999</v>
      </c>
      <c r="D82" s="32">
        <f>SUM(D83:D89)</f>
        <v>816.7</v>
      </c>
      <c r="E82" s="32">
        <f>SUM(E83:E89)</f>
        <v>4209.429999999999</v>
      </c>
      <c r="F82" s="32">
        <f t="shared" si="9"/>
        <v>-1468.5999999999995</v>
      </c>
      <c r="G82" s="61">
        <f>E82/B82</f>
        <v>1.158881926702493</v>
      </c>
    </row>
    <row r="83" spans="1:7" s="19" customFormat="1" ht="45">
      <c r="A83" s="84" t="s">
        <v>81</v>
      </c>
      <c r="B83" s="64">
        <f>328.81</f>
        <v>328.81</v>
      </c>
      <c r="C83" s="65">
        <v>242.74</v>
      </c>
      <c r="D83" s="65"/>
      <c r="E83" s="32">
        <f aca="true" t="shared" si="10" ref="E83:E88">C83-D83</f>
        <v>242.74</v>
      </c>
      <c r="F83" s="65">
        <f t="shared" si="9"/>
        <v>0</v>
      </c>
      <c r="G83" s="61"/>
    </row>
    <row r="84" spans="1:7" s="19" customFormat="1" ht="15">
      <c r="A84" s="84" t="s">
        <v>79</v>
      </c>
      <c r="B84" s="64">
        <v>2948.16</v>
      </c>
      <c r="C84" s="65">
        <v>4412.49</v>
      </c>
      <c r="D84" s="65">
        <f>805.7+6</f>
        <v>811.7</v>
      </c>
      <c r="E84" s="32">
        <f t="shared" si="10"/>
        <v>3600.79</v>
      </c>
      <c r="F84" s="65">
        <f t="shared" si="9"/>
        <v>-811.6999999999998</v>
      </c>
      <c r="G84" s="61"/>
    </row>
    <row r="85" spans="1:7" s="19" customFormat="1" ht="15">
      <c r="A85" s="84" t="s">
        <v>80</v>
      </c>
      <c r="B85" s="64">
        <v>319.35</v>
      </c>
      <c r="C85" s="65">
        <v>349.5</v>
      </c>
      <c r="D85" s="65">
        <v>5</v>
      </c>
      <c r="E85" s="32">
        <f t="shared" si="10"/>
        <v>344.5</v>
      </c>
      <c r="F85" s="65">
        <f t="shared" si="9"/>
        <v>-5</v>
      </c>
      <c r="G85" s="61"/>
    </row>
    <row r="86" spans="1:7" s="19" customFormat="1" ht="15">
      <c r="A86" s="84" t="s">
        <v>88</v>
      </c>
      <c r="B86" s="64"/>
      <c r="C86" s="65">
        <v>18.4</v>
      </c>
      <c r="D86" s="65"/>
      <c r="E86" s="32">
        <f t="shared" si="10"/>
        <v>18.4</v>
      </c>
      <c r="F86" s="65">
        <f t="shared" si="9"/>
        <v>0</v>
      </c>
      <c r="G86" s="61"/>
    </row>
    <row r="87" spans="1:7" s="19" customFormat="1" ht="15">
      <c r="A87" s="84" t="s">
        <v>85</v>
      </c>
      <c r="B87" s="64">
        <v>36</v>
      </c>
      <c r="C87" s="65">
        <v>0</v>
      </c>
      <c r="D87" s="65"/>
      <c r="E87" s="32">
        <f t="shared" si="10"/>
        <v>0</v>
      </c>
      <c r="F87" s="65">
        <f t="shared" si="9"/>
        <v>0</v>
      </c>
      <c r="G87" s="61"/>
    </row>
    <row r="88" spans="1:7" s="19" customFormat="1" ht="15">
      <c r="A88" s="84" t="s">
        <v>86</v>
      </c>
      <c r="B88" s="64"/>
      <c r="C88" s="65">
        <v>3</v>
      </c>
      <c r="D88" s="65"/>
      <c r="E88" s="32">
        <f t="shared" si="10"/>
        <v>3</v>
      </c>
      <c r="F88" s="65">
        <f t="shared" si="9"/>
        <v>0</v>
      </c>
      <c r="G88" s="61"/>
    </row>
    <row r="89" spans="1:7" s="19" customFormat="1" ht="15">
      <c r="A89" s="84" t="s">
        <v>87</v>
      </c>
      <c r="B89" s="64">
        <v>0</v>
      </c>
      <c r="C89" s="65">
        <v>651.9</v>
      </c>
      <c r="D89" s="65"/>
      <c r="E89" s="32">
        <v>0</v>
      </c>
      <c r="F89" s="65">
        <f t="shared" si="9"/>
        <v>-651.9</v>
      </c>
      <c r="G89" s="61"/>
    </row>
    <row r="90" spans="1:7" s="17" customFormat="1" ht="14.25">
      <c r="A90" s="91" t="s">
        <v>45</v>
      </c>
      <c r="B90" s="51">
        <f>SUM(B91:B99)</f>
        <v>717.65</v>
      </c>
      <c r="C90" s="51">
        <f>SUM(C91:C99)</f>
        <v>1257.15</v>
      </c>
      <c r="D90" s="51">
        <f>SUM(D91:D99)</f>
        <v>0</v>
      </c>
      <c r="E90" s="51">
        <f>SUM(E91:E99)</f>
        <v>1257.2</v>
      </c>
      <c r="F90" s="51">
        <f>SUM(F91:F99)</f>
        <v>0.04999999999999716</v>
      </c>
      <c r="G90" s="70">
        <f>E90/B90</f>
        <v>1.7518288859471889</v>
      </c>
    </row>
    <row r="91" spans="1:7" s="1" customFormat="1" ht="120">
      <c r="A91" s="83" t="s">
        <v>82</v>
      </c>
      <c r="B91" s="60">
        <v>6.74</v>
      </c>
      <c r="C91" s="32">
        <v>0</v>
      </c>
      <c r="D91" s="32"/>
      <c r="E91" s="32"/>
      <c r="F91" s="39"/>
      <c r="G91" s="61"/>
    </row>
    <row r="92" spans="1:7" s="1" customFormat="1" ht="105">
      <c r="A92" s="89" t="s">
        <v>83</v>
      </c>
      <c r="B92" s="60">
        <v>152.07</v>
      </c>
      <c r="C92" s="32">
        <v>0</v>
      </c>
      <c r="D92" s="32"/>
      <c r="E92" s="32"/>
      <c r="F92" s="39"/>
      <c r="G92" s="61"/>
    </row>
    <row r="93" spans="1:7" s="1" customFormat="1" ht="30">
      <c r="A93" s="92" t="s">
        <v>84</v>
      </c>
      <c r="B93" s="60">
        <v>25</v>
      </c>
      <c r="C93" s="32"/>
      <c r="D93" s="32"/>
      <c r="E93" s="32"/>
      <c r="F93" s="39"/>
      <c r="G93" s="61"/>
    </row>
    <row r="94" spans="1:7" s="1" customFormat="1" ht="75">
      <c r="A94" s="83" t="s">
        <v>73</v>
      </c>
      <c r="B94" s="60"/>
      <c r="C94" s="32">
        <v>278.7</v>
      </c>
      <c r="D94" s="32"/>
      <c r="E94" s="32">
        <v>278.7</v>
      </c>
      <c r="F94" s="39">
        <f aca="true" t="shared" si="11" ref="F94:F101">E94-C94</f>
        <v>0</v>
      </c>
      <c r="G94" s="61"/>
    </row>
    <row r="95" spans="1:7" s="1" customFormat="1" ht="45">
      <c r="A95" s="83" t="s">
        <v>74</v>
      </c>
      <c r="B95" s="60">
        <v>126.9</v>
      </c>
      <c r="C95" s="32">
        <v>105.05</v>
      </c>
      <c r="D95" s="32"/>
      <c r="E95" s="32">
        <v>105.1</v>
      </c>
      <c r="F95" s="39">
        <f t="shared" si="11"/>
        <v>0.04999999999999716</v>
      </c>
      <c r="G95" s="61">
        <f>E95/B95</f>
        <v>0.8282111899133174</v>
      </c>
    </row>
    <row r="96" spans="1:7" s="1" customFormat="1" ht="75">
      <c r="A96" s="83" t="s">
        <v>75</v>
      </c>
      <c r="B96" s="60">
        <v>121.64</v>
      </c>
      <c r="C96" s="32">
        <v>206.1</v>
      </c>
      <c r="D96" s="32"/>
      <c r="E96" s="32">
        <v>206.1</v>
      </c>
      <c r="F96" s="39">
        <f t="shared" si="11"/>
        <v>0</v>
      </c>
      <c r="G96" s="61">
        <f>E96/B96</f>
        <v>1.6943439658007233</v>
      </c>
    </row>
    <row r="97" spans="1:7" s="1" customFormat="1" ht="75">
      <c r="A97" s="83" t="s">
        <v>76</v>
      </c>
      <c r="B97" s="60">
        <v>0</v>
      </c>
      <c r="C97" s="32">
        <v>6</v>
      </c>
      <c r="D97" s="32"/>
      <c r="E97" s="32">
        <v>6</v>
      </c>
      <c r="F97" s="39">
        <f t="shared" si="11"/>
        <v>0</v>
      </c>
      <c r="G97" s="61"/>
    </row>
    <row r="98" spans="1:7" s="1" customFormat="1" ht="105">
      <c r="A98" s="83" t="s">
        <v>77</v>
      </c>
      <c r="B98" s="60">
        <v>250</v>
      </c>
      <c r="C98" s="32">
        <v>250</v>
      </c>
      <c r="D98" s="32"/>
      <c r="E98" s="32">
        <v>250</v>
      </c>
      <c r="F98" s="39">
        <f t="shared" si="11"/>
        <v>0</v>
      </c>
      <c r="G98" s="61">
        <f>E98/B98</f>
        <v>1</v>
      </c>
    </row>
    <row r="99" spans="1:7" s="1" customFormat="1" ht="75">
      <c r="A99" s="83" t="s">
        <v>78</v>
      </c>
      <c r="B99" s="60">
        <v>35.3</v>
      </c>
      <c r="C99" s="32">
        <v>411.3</v>
      </c>
      <c r="D99" s="32"/>
      <c r="E99" s="32">
        <v>411.3</v>
      </c>
      <c r="F99" s="39">
        <f t="shared" si="11"/>
        <v>0</v>
      </c>
      <c r="G99" s="61">
        <f>E99/B99</f>
        <v>11.651558073654392</v>
      </c>
    </row>
    <row r="100" spans="1:7" s="17" customFormat="1" ht="14.25">
      <c r="A100" s="91" t="s">
        <v>71</v>
      </c>
      <c r="B100" s="51">
        <f>3895.08+113.7</f>
        <v>4008.7799999999997</v>
      </c>
      <c r="C100" s="24">
        <v>5542.5</v>
      </c>
      <c r="D100" s="24">
        <v>82.5</v>
      </c>
      <c r="E100" s="24">
        <f>C100-D100</f>
        <v>5460</v>
      </c>
      <c r="F100" s="71">
        <f t="shared" si="11"/>
        <v>-82.5</v>
      </c>
      <c r="G100" s="70">
        <f>E100/B100</f>
        <v>1.362010387200096</v>
      </c>
    </row>
    <row r="101" spans="1:7" s="17" customFormat="1" ht="14.25">
      <c r="A101" s="81" t="s">
        <v>4</v>
      </c>
      <c r="B101" s="51">
        <f>B7-B39</f>
        <v>-2393.6200000000244</v>
      </c>
      <c r="C101" s="51">
        <f>C7-C39</f>
        <v>-1797.0699999999779</v>
      </c>
      <c r="D101" s="51"/>
      <c r="E101" s="51">
        <f>E7-E39</f>
        <v>-1797.0199999999604</v>
      </c>
      <c r="F101" s="71">
        <f t="shared" si="11"/>
        <v>0.0500000000174623</v>
      </c>
      <c r="G101" s="70">
        <f>E101/B101</f>
        <v>0.7507540879504441</v>
      </c>
    </row>
    <row r="102" spans="1:30" ht="15">
      <c r="A102" s="93" t="s">
        <v>10</v>
      </c>
      <c r="B102" s="64">
        <f>(B101-B104)/(B8-B24)</f>
        <v>-0.2007276813740639</v>
      </c>
      <c r="C102" s="65">
        <f>(C101-C104)/(C8-C24)</f>
        <v>-0.15313799999999853</v>
      </c>
      <c r="D102" s="33" t="s">
        <v>1</v>
      </c>
      <c r="E102" s="65">
        <f>(E101-E104)/(E8-E24)</f>
        <v>-0.17080946024828952</v>
      </c>
      <c r="F102" s="65"/>
      <c r="G102" s="65"/>
      <c r="H102" s="11"/>
      <c r="I102" s="11"/>
      <c r="J102" s="11"/>
      <c r="K102" s="11"/>
      <c r="L102" s="11"/>
      <c r="M102" s="11"/>
      <c r="N102" s="11"/>
      <c r="O102" s="11"/>
      <c r="P102" s="11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</row>
    <row r="103" spans="1:7" s="12" customFormat="1" ht="14.25">
      <c r="A103" s="81" t="s">
        <v>11</v>
      </c>
      <c r="B103" s="51">
        <f>SUM(B104:B109)-B105</f>
        <v>2393.6200000000244</v>
      </c>
      <c r="C103" s="24">
        <f>SUM(C104:C109)-C105</f>
        <v>1797.0699999999779</v>
      </c>
      <c r="D103" s="24"/>
      <c r="E103" s="24">
        <f>E104+E107</f>
        <v>1797.0199999999604</v>
      </c>
      <c r="F103" s="24">
        <f>F104+F107</f>
        <v>-0.0500000000174623</v>
      </c>
      <c r="G103" s="70">
        <f aca="true" t="shared" si="12" ref="G103:G118">E103/B103</f>
        <v>0.7507540879504441</v>
      </c>
    </row>
    <row r="104" spans="1:7" ht="15">
      <c r="A104" s="83" t="s">
        <v>12</v>
      </c>
      <c r="B104" s="32">
        <f>-B101-B107</f>
        <v>3393.6200000000244</v>
      </c>
      <c r="C104" s="32">
        <f>-C101-C107</f>
        <v>2797.069999999978</v>
      </c>
      <c r="D104" s="32"/>
      <c r="E104" s="32">
        <f>-E101-E107</f>
        <v>2797.0199999999604</v>
      </c>
      <c r="F104" s="32">
        <f>-F101-F107</f>
        <v>-0.0500000000174623</v>
      </c>
      <c r="G104" s="61">
        <f t="shared" si="12"/>
        <v>0.8241995273483597</v>
      </c>
    </row>
    <row r="105" spans="1:7" ht="15">
      <c r="A105" s="83" t="s">
        <v>56</v>
      </c>
      <c r="B105" s="60"/>
      <c r="C105" s="32"/>
      <c r="D105" s="32"/>
      <c r="E105" s="32"/>
      <c r="F105" s="32"/>
      <c r="G105" s="61"/>
    </row>
    <row r="106" spans="1:7" ht="30">
      <c r="A106" s="83" t="s">
        <v>13</v>
      </c>
      <c r="B106" s="60"/>
      <c r="C106" s="32"/>
      <c r="D106" s="32"/>
      <c r="E106" s="32"/>
      <c r="F106" s="32"/>
      <c r="G106" s="61"/>
    </row>
    <row r="107" spans="1:7" ht="15">
      <c r="A107" s="89" t="s">
        <v>14</v>
      </c>
      <c r="B107" s="72">
        <v>-1000</v>
      </c>
      <c r="C107" s="73">
        <v>-1000</v>
      </c>
      <c r="D107" s="73"/>
      <c r="E107" s="73">
        <v>-1000</v>
      </c>
      <c r="F107" s="39">
        <f>E107-C107</f>
        <v>0</v>
      </c>
      <c r="G107" s="61">
        <f t="shared" si="12"/>
        <v>1</v>
      </c>
    </row>
    <row r="108" spans="1:7" ht="15">
      <c r="A108" s="89" t="s">
        <v>15</v>
      </c>
      <c r="B108" s="72"/>
      <c r="C108" s="73"/>
      <c r="D108" s="73"/>
      <c r="E108" s="32"/>
      <c r="F108" s="32"/>
      <c r="G108" s="61"/>
    </row>
    <row r="109" spans="1:7" ht="15">
      <c r="A109" s="89" t="s">
        <v>16</v>
      </c>
      <c r="B109" s="72"/>
      <c r="C109" s="73"/>
      <c r="D109" s="73"/>
      <c r="E109" s="32"/>
      <c r="F109" s="32"/>
      <c r="G109" s="61"/>
    </row>
    <row r="110" spans="1:7" ht="30">
      <c r="A110" s="89" t="s">
        <v>17</v>
      </c>
      <c r="B110" s="74"/>
      <c r="C110" s="75"/>
      <c r="D110" s="75"/>
      <c r="E110" s="75"/>
      <c r="F110" s="75"/>
      <c r="G110" s="55"/>
    </row>
    <row r="111" spans="1:7" ht="14.25">
      <c r="A111" s="81" t="s">
        <v>18</v>
      </c>
      <c r="B111" s="51">
        <v>2000</v>
      </c>
      <c r="C111" s="24">
        <v>2000</v>
      </c>
      <c r="D111" s="24"/>
      <c r="E111" s="24">
        <v>1000</v>
      </c>
      <c r="F111" s="24"/>
      <c r="G111" s="70">
        <f t="shared" si="12"/>
        <v>0.5</v>
      </c>
    </row>
    <row r="112" spans="1:7" ht="15">
      <c r="A112" s="94" t="s">
        <v>6</v>
      </c>
      <c r="B112" s="76"/>
      <c r="C112" s="77"/>
      <c r="D112" s="77"/>
      <c r="E112" s="77"/>
      <c r="F112" s="77"/>
      <c r="G112" s="70"/>
    </row>
    <row r="113" spans="1:7" s="8" customFormat="1" ht="28.5">
      <c r="A113" s="81" t="s">
        <v>24</v>
      </c>
      <c r="B113" s="78">
        <v>3.301</v>
      </c>
      <c r="C113" s="78">
        <v>3.301</v>
      </c>
      <c r="D113" s="78"/>
      <c r="E113" s="78">
        <v>3.301</v>
      </c>
      <c r="F113" s="25"/>
      <c r="G113" s="70">
        <f t="shared" si="12"/>
        <v>1</v>
      </c>
    </row>
    <row r="114" spans="1:7" ht="14.25">
      <c r="A114" s="81" t="s">
        <v>19</v>
      </c>
      <c r="B114" s="51">
        <f>B7/B113</f>
        <v>44727.41593456527</v>
      </c>
      <c r="C114" s="69">
        <f>C7/C113</f>
        <v>45956.588912450774</v>
      </c>
      <c r="D114" s="69"/>
      <c r="E114" s="69">
        <f>E7/E113</f>
        <v>45262.405331717666</v>
      </c>
      <c r="F114" s="69"/>
      <c r="G114" s="70">
        <f t="shared" si="12"/>
        <v>1.0119611067613443</v>
      </c>
    </row>
    <row r="115" spans="1:7" ht="14.25">
      <c r="A115" s="81" t="s">
        <v>20</v>
      </c>
      <c r="B115" s="51">
        <f>B45/B113</f>
        <v>22683.70796728264</v>
      </c>
      <c r="C115" s="69">
        <f>C45/C113</f>
        <v>23604.80763405029</v>
      </c>
      <c r="D115" s="69"/>
      <c r="E115" s="69">
        <f>E45/E113</f>
        <v>22910.608906392</v>
      </c>
      <c r="F115" s="69"/>
      <c r="G115" s="70">
        <f t="shared" si="12"/>
        <v>1.0100028152115441</v>
      </c>
    </row>
    <row r="116" spans="1:7" ht="42.75">
      <c r="A116" s="81" t="s">
        <v>21</v>
      </c>
      <c r="B116" s="79">
        <v>74</v>
      </c>
      <c r="C116" s="79">
        <v>74</v>
      </c>
      <c r="D116" s="79"/>
      <c r="E116" s="79">
        <v>75</v>
      </c>
      <c r="F116" s="79"/>
      <c r="G116" s="70">
        <f t="shared" si="12"/>
        <v>1.0135135135135136</v>
      </c>
    </row>
    <row r="117" spans="1:7" ht="28.5">
      <c r="A117" s="81" t="s">
        <v>22</v>
      </c>
      <c r="B117" s="79">
        <v>36</v>
      </c>
      <c r="C117" s="79">
        <v>36</v>
      </c>
      <c r="D117" s="79"/>
      <c r="E117" s="79">
        <v>35</v>
      </c>
      <c r="F117" s="79"/>
      <c r="G117" s="70">
        <f t="shared" si="12"/>
        <v>0.9722222222222222</v>
      </c>
    </row>
    <row r="118" spans="1:7" ht="14.25">
      <c r="A118" s="81" t="s">
        <v>23</v>
      </c>
      <c r="B118" s="79">
        <v>12</v>
      </c>
      <c r="C118" s="79">
        <v>11</v>
      </c>
      <c r="D118" s="79"/>
      <c r="E118" s="79">
        <v>10</v>
      </c>
      <c r="F118" s="80"/>
      <c r="G118" s="70">
        <f t="shared" si="12"/>
        <v>0.8333333333333334</v>
      </c>
    </row>
    <row r="119" spans="1:7" ht="18.75">
      <c r="A119" s="15" t="s">
        <v>63</v>
      </c>
      <c r="B119" s="16"/>
      <c r="C119" s="13"/>
      <c r="D119" s="13"/>
      <c r="E119" s="13"/>
      <c r="F119" s="13"/>
      <c r="G119" s="13"/>
    </row>
    <row r="120" spans="1:2" ht="15.75">
      <c r="A120" s="3"/>
      <c r="B120" s="3"/>
    </row>
    <row r="121" spans="1:7" ht="15.75">
      <c r="A121" s="3"/>
      <c r="B121" s="3"/>
      <c r="E121" s="13"/>
      <c r="F121" s="13"/>
      <c r="G121" s="13"/>
    </row>
    <row r="123" spans="1:4" s="3" customFormat="1" ht="15.75">
      <c r="A123" s="3" t="s">
        <v>118</v>
      </c>
      <c r="D123" s="3" t="s">
        <v>119</v>
      </c>
    </row>
  </sheetData>
  <sheetProtection/>
  <mergeCells count="8">
    <mergeCell ref="D4:D5"/>
    <mergeCell ref="F4:F5"/>
    <mergeCell ref="E4:E5"/>
    <mergeCell ref="G4:G5"/>
    <mergeCell ref="A1:G1"/>
    <mergeCell ref="A4:A5"/>
    <mergeCell ref="B4:B5"/>
    <mergeCell ref="C4:C5"/>
  </mergeCells>
  <printOptions/>
  <pageMargins left="0.7874015748031497" right="0.3937007874015748" top="0.7874015748031497" bottom="0.3937007874015748" header="0" footer="0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***</cp:lastModifiedBy>
  <cp:lastPrinted>2016-11-08T10:44:27Z</cp:lastPrinted>
  <dcterms:created xsi:type="dcterms:W3CDTF">2009-02-10T04:49:18Z</dcterms:created>
  <dcterms:modified xsi:type="dcterms:W3CDTF">2016-11-08T10:44:46Z</dcterms:modified>
  <cp:category/>
  <cp:version/>
  <cp:contentType/>
  <cp:contentStatus/>
</cp:coreProperties>
</file>