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120" windowHeight="8568" tabRatio="618" activeTab="0"/>
  </bookViews>
  <sheets>
    <sheet name="Ожидаемое" sheetId="1" r:id="rId1"/>
  </sheets>
  <definedNames>
    <definedName name="_xlnm.Print_Titles" localSheetId="0">'Ожидаемое'!$5:$7</definedName>
    <definedName name="_xlnm.Print_Area" localSheetId="0">'Ожидаемое'!$A$3:$K$157</definedName>
  </definedNames>
  <calcPr fullCalcOnLoad="1"/>
</workbook>
</file>

<file path=xl/sharedStrings.xml><?xml version="1.0" encoding="utf-8"?>
<sst xmlns="http://schemas.openxmlformats.org/spreadsheetml/2006/main" count="199" uniqueCount="164">
  <si>
    <t>Руководитель финансового органа</t>
  </si>
  <si>
    <t>х</t>
  </si>
  <si>
    <t>в том числе</t>
  </si>
  <si>
    <t>Наименование показателей</t>
  </si>
  <si>
    <t>Дефицит (-), профицит (+)</t>
  </si>
  <si>
    <t xml:space="preserve"> по оценке ДФ</t>
  </si>
  <si>
    <t>по оценке МО</t>
  </si>
  <si>
    <t>по оценке ДФ</t>
  </si>
  <si>
    <t>ДФ</t>
  </si>
  <si>
    <t>МО</t>
  </si>
  <si>
    <t>8=гр.7-гр.4</t>
  </si>
  <si>
    <t>1. Налоговые и неналоговые доходы всего:</t>
  </si>
  <si>
    <t>СПРАВОЧНО:</t>
  </si>
  <si>
    <t>Доп.норматив от НДФЛ (%%)</t>
  </si>
  <si>
    <t>Объем НДФЛ по допнормативу  (тыс. руб.)</t>
  </si>
  <si>
    <t>Объем НДФЛ без допнорматива (тыс. руб.)</t>
  </si>
  <si>
    <t>предельное значение, %%</t>
  </si>
  <si>
    <t>Источники финансирования дефицита</t>
  </si>
  <si>
    <t>Изменение остатков</t>
  </si>
  <si>
    <t xml:space="preserve">снижение  нецелевых остатков в связи с направлением их на расходы </t>
  </si>
  <si>
    <t>бюджетные кредиты</t>
  </si>
  <si>
    <t>кредиты коммерческих банков</t>
  </si>
  <si>
    <t>ценные бумаги</t>
  </si>
  <si>
    <t>Итого необеспеченный дефицит (обеспечен целевыми средствами)</t>
  </si>
  <si>
    <t>Муниципальный долг</t>
  </si>
  <si>
    <t>доходы всего на 1 жителя</t>
  </si>
  <si>
    <t>расходы всего на 1 жителя</t>
  </si>
  <si>
    <t xml:space="preserve">Штатная численность работников муниципальных учреждений  по полномочиям местного значения </t>
  </si>
  <si>
    <t xml:space="preserve">Численность работников органов местного самоуправления                 </t>
  </si>
  <si>
    <t>Количество муниципальных учреждений</t>
  </si>
  <si>
    <t>в т.ч.</t>
  </si>
  <si>
    <t>налоговые доходы всего, из них:</t>
  </si>
  <si>
    <t>НДФЛ  всего</t>
  </si>
  <si>
    <t xml:space="preserve">акцизы </t>
  </si>
  <si>
    <t>УСН</t>
  </si>
  <si>
    <t>ЕНВД</t>
  </si>
  <si>
    <t>налог на имущество физических лиц</t>
  </si>
  <si>
    <t>земельный налог</t>
  </si>
  <si>
    <t>неналоговые доходы</t>
  </si>
  <si>
    <t>из них:</t>
  </si>
  <si>
    <t>доходы от использования имущества, находящегося в государственной и муниципальной собственности, из них</t>
  </si>
  <si>
    <t>арендная плата за земельные участки</t>
  </si>
  <si>
    <t xml:space="preserve">доходы от продажи материальных и нематериальных активов </t>
  </si>
  <si>
    <t>субвенции в РФФПП</t>
  </si>
  <si>
    <t>дотация на сбалансированность</t>
  </si>
  <si>
    <t>дотация ЗАТО из федерального бюджета</t>
  </si>
  <si>
    <t>дотации из ФФФП (для городских округов)</t>
  </si>
  <si>
    <t>1) первоочередные (без учета средств на софинансирование), в т.ч.</t>
  </si>
  <si>
    <t>ФОТ с начисл. к собственным доходам (%)</t>
  </si>
  <si>
    <t>2) непервоочередные (без учета средств на софинансирование), в т.ч.</t>
  </si>
  <si>
    <t xml:space="preserve">3. Расходы на условиях софинансирования </t>
  </si>
  <si>
    <t xml:space="preserve">расшифровать по всем направлениям с указанием уровня софинансирования </t>
  </si>
  <si>
    <t>тыс. рублей</t>
  </si>
  <si>
    <t xml:space="preserve">Объем Фонда финансовой поддержки муниципальных районов, городских округов </t>
  </si>
  <si>
    <t>дотации на выравнивание  бюджетной обеспеченности из ФФПМР(ГО)</t>
  </si>
  <si>
    <t>расшифровать 1.4.5</t>
  </si>
  <si>
    <t xml:space="preserve">Удельный вес первоочередных расходов в собственных доходах </t>
  </si>
  <si>
    <t xml:space="preserve">2.3) Расходы на капитальное строительство </t>
  </si>
  <si>
    <t>2016 год</t>
  </si>
  <si>
    <t>Первоначальный план 2017 года</t>
  </si>
  <si>
    <t>Утверждено по состоянию на 01.09.2017</t>
  </si>
  <si>
    <t>Объем оптимизации расходов 2017 года</t>
  </si>
  <si>
    <t>Ожидаемое исполнение на 2017 год (тыс. руб.)</t>
  </si>
  <si>
    <t>Темп роста ожидаемого ДФ 2017 к исполнению 2016 года</t>
  </si>
  <si>
    <t>Темп роста ожидаемого МО 2017 к исполнению 2016 года</t>
  </si>
  <si>
    <t>Прогноз на 2018 год                (тыс. руб.)</t>
  </si>
  <si>
    <t>Темп роста 2018/2017 (в %)</t>
  </si>
  <si>
    <t>численность на 01.01.2017 года (тыс. чел) с 3-мя знаками после запятой</t>
  </si>
  <si>
    <t xml:space="preserve">Приложение № 4 к письму Департамента финансов                             Томской области                                            
</t>
  </si>
  <si>
    <t>Форма 4.6.</t>
  </si>
  <si>
    <t>4. Дорожный фонд</t>
  </si>
  <si>
    <t>Организация и проведение муниципальных официальных физкультурных и спортивных мероприятий, в том числе в образовательных учреждениях, а так же организация физкультурно-спортивной работы по месту жительства граждан</t>
  </si>
  <si>
    <t>Организация отдыха в лагерях с дневным пребыванием детей, организованных на базах общеобразовательных организаций</t>
  </si>
  <si>
    <t>Проведение капитального ремонта объектов коммунальной инфраструктуры в целях подготовки хозяйственного комплекса города Кедрового к безаварийному прохождению отопительного сезона</t>
  </si>
  <si>
    <t>Создание безопасных условий в муниципальных общеобразовательных организациях в рамках введения федеральных общеобразовательных стандартов</t>
  </si>
  <si>
    <t>Частичная оплата стоимости питания отдельных категорий обучающихся в муниципальных общеобразовательных организациях города Кедрового, за исключением обучающихся с ограниченными возможностями здоровья</t>
  </si>
  <si>
    <t>Исполнение взысканий на средства местного бюджета, в том числе исполнение судебных актов</t>
  </si>
  <si>
    <t>Ликвидация несанкционированных свалок</t>
  </si>
  <si>
    <t>Обеспечение деятельности администрации города Кедрового</t>
  </si>
  <si>
    <t>Обеспечение деятельности библиотек для качественного предоставления населению библиотечных услуг</t>
  </si>
  <si>
    <t>Обеспечение деятельности Редакции газеты "В краю кедровом"</t>
  </si>
  <si>
    <t>Обеспечение деятельности ресурсно-методического центра Отдела образования Администрации города Кедрового</t>
  </si>
  <si>
    <t>Обеспечение деятельности руководителя Отдела образования Администрации города Кедрового</t>
  </si>
  <si>
    <t>Обеспечение подготовки и проведения протокольных мероприятий органов местного самоуправления</t>
  </si>
  <si>
    <t>Обеспечение функционирования автоматизированной системы "БАРС.Бюджет-Отчетность"</t>
  </si>
  <si>
    <t>Обеспечение функционирования официального сайта администрации города Кедрового в информационно-телекоммуникационной сети "Интернет"</t>
  </si>
  <si>
    <t>Обустройство и содержание полигонов ТБО</t>
  </si>
  <si>
    <t>Оказание поддержки общественным организациям муниципального образования</t>
  </si>
  <si>
    <t>Организация и проведение информационно–просветительских мероприятий с целью продвижения чтения и повышения информационной культуры</t>
  </si>
  <si>
    <t>Организация и проведение конкурсов профессионального мастерства и других мероприятий для педагогов образовательных учреждений</t>
  </si>
  <si>
    <t>Организация подписки на периодические издания для ветеранов ВОВ и инвалидов</t>
  </si>
  <si>
    <t>Организация специальных событий и организационно-представительских мероприятий</t>
  </si>
  <si>
    <t>Обеспечение деятельности органа управления объединенной системы оперативно-диспетчерского управления в чрезвычайных ситуациях</t>
  </si>
  <si>
    <t>Межевание земельных участок, изготовление кадастровых паспортов на объекты недвижимости, независимая оценка объектов</t>
  </si>
  <si>
    <t>Обустройство площадки для проведения детских игоровых мероприятий</t>
  </si>
  <si>
    <t>Озеленение территории муниципального образования "Город Кедровый"</t>
  </si>
  <si>
    <t>Организация и проведение культурно–массовых и досуговых мероприятий</t>
  </si>
  <si>
    <t>Организация и проведение мероприятий направленных на раскрытие творческого потенциала молодежи</t>
  </si>
  <si>
    <t>Организация и проведение мероприятий, направленных на воспитание гражданственности и патриотизма</t>
  </si>
  <si>
    <t>Организация проведения комплексного психолого-медико-педагогического обследования детей в возрасте от 0 до 18 лет с целью своевременного выявления недостатков в физическом и (или) психическом развитии и (или) отклонений в поведении детей</t>
  </si>
  <si>
    <t>Осуществление организационно-управленческих функций</t>
  </si>
  <si>
    <t>Проведение ежегодных медицинских осмотров и диспансеризации работников</t>
  </si>
  <si>
    <t>Прочие работы в области дорожного хозяйства</t>
  </si>
  <si>
    <t>Содержание и текущий ремонт объектов физической культуры и спорта для оказания услуг населению</t>
  </si>
  <si>
    <t>Содержание мест захоронения</t>
  </si>
  <si>
    <t>Содержание, приобретение материалов и ремонт объектов благоустройства</t>
  </si>
  <si>
    <t>Специальная оценка условий труда</t>
  </si>
  <si>
    <t>Строительство и ремонт деревянных тротуаров в сельских населенных пунктах</t>
  </si>
  <si>
    <t>Устройство и содержание защитных полос между населенным пунктом и лесным массивом</t>
  </si>
  <si>
    <t>Переход на предоставление муниципальных услуг в электронном виде, в том числе с применением межведомственного взаимодействия</t>
  </si>
  <si>
    <t>Подключение фельдшерских акушерских пунктов с. Пудино и п.Рогалево к электроснабжению и водоснабжению, обустройство септика</t>
  </si>
  <si>
    <t>Подписка на периодические издания</t>
  </si>
  <si>
    <t>Предоставление мер социальной поддержки в рамках обучения целевого направления</t>
  </si>
  <si>
    <t>Приобретение и сопровождение программных продуктов в сфере информационных технологий</t>
  </si>
  <si>
    <t>Приобретение, монтаж и обслуживание пожарной сигнализации, системы оповещения</t>
  </si>
  <si>
    <t>Профессиональное развитие и подготовка муниципальных служащих</t>
  </si>
  <si>
    <t>Прочие расходы по содержанию имущества</t>
  </si>
  <si>
    <t>Реализация установленных полномочий (функций) МУ "ЦБ" города Кедрового</t>
  </si>
  <si>
    <t>Реализация установленных полномочий (функций) отделом финансов и экономики</t>
  </si>
  <si>
    <t>Содержание муниципального жилищного фонда</t>
  </si>
  <si>
    <t>Содержание объектов коммунальной инфраструктуры</t>
  </si>
  <si>
    <t>Текущий ремонт автомобильных дорог общего пользования</t>
  </si>
  <si>
    <t>Фонд финансирования непредвиденных расходов администрации города Кедрового</t>
  </si>
  <si>
    <t>Проведение ремонта и (или) переустройства в жилых помещениях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</t>
  </si>
  <si>
    <t>Обеспечение участия спортивных сборных команд муниципального образования «Город Кедровый» в официальных региональных спортивных, физкультурных мероприятиях, проводимых на территории Томской области</t>
  </si>
  <si>
    <t>Комплектование книжных фондов муниципальных общедоступных библиотек муниципального образования "Город Кедровый"</t>
  </si>
  <si>
    <t>Мероприятия по обеспечению населения муниципального образования "Город Кедровый" чистой питьевой водой</t>
  </si>
  <si>
    <t>Поддержка государственных программ субъектов Российской Федерации и мунциипальных программ формирования современной городской среды в Томской области</t>
  </si>
  <si>
    <t>Проведение землеустроительных работ в отношении границ населенных пунктов муниципального образования "Город Кедровый" в рамках государственной программы "Обеспечение доступности жилья и улучшение качества жилищных условий населения Томской области" на 2017 год</t>
  </si>
  <si>
    <t>1.3) Обслуживание муниципального долга (КОСГУ 231)</t>
  </si>
  <si>
    <t>1.4.1) Услуги связи (КОСГУ 221)</t>
  </si>
  <si>
    <t>1.4.2) Транспортные услуги (КОСГУ 222)</t>
  </si>
  <si>
    <t>1.4.3) Коммунальные услуги (КОСГУ 223)</t>
  </si>
  <si>
    <t>1.4.4) Арендная плата за пользование имуществом (КОСГУ 224)</t>
  </si>
  <si>
    <t>1.4.5) Увеличение стоимости материальных запасов (КОСГУ 340)</t>
  </si>
  <si>
    <t>1.4.6) Расходы на текущее содержание зданий (КОСГУ 225)</t>
  </si>
  <si>
    <t>2.1) Субсидии юридическим лицам (КОСГУ 242)</t>
  </si>
  <si>
    <t>2.2) Социальная помощь населению (КОСГУ 26*)</t>
  </si>
  <si>
    <t>2.4.) Расходы на капитальный ремонт (КВР 243)</t>
  </si>
  <si>
    <t>2.5) Расходы на приобретение объектов недвижимого имущества (КВР 4**)</t>
  </si>
  <si>
    <t>2.6) Расходы на увеличение стоимости основных средств (КОСГУ 310)</t>
  </si>
  <si>
    <t>Ремонт автомобильных дорог общего пользования местного значения в рамках государственной программы "Развитие транспортной системы в Томской области" на территории муниципального образования "Город Кедровый"</t>
  </si>
  <si>
    <t>Барвенко О.С.</t>
  </si>
  <si>
    <t>Шатыло Ульяна Владимировна 8 (38250) 35-516</t>
  </si>
  <si>
    <t>Исполнитель (ФИО, тлф):</t>
  </si>
  <si>
    <r>
      <t>Доходы всего</t>
    </r>
    <r>
      <rPr>
        <sz val="12"/>
        <color indexed="8"/>
        <rFont val="Times New Roman"/>
        <family val="1"/>
      </rPr>
      <t xml:space="preserve"> (налоговые и неналоговые доходы, нецелевая финансовая помощь ) </t>
    </r>
  </si>
  <si>
    <r>
      <t>1.1) Общий объём фонда оплаты труда с начислениями</t>
    </r>
    <r>
      <rPr>
        <b/>
        <sz val="12"/>
        <color indexed="8"/>
        <rFont val="Times New Roman"/>
        <family val="1"/>
      </rPr>
      <t xml:space="preserve"> * </t>
    </r>
    <r>
      <rPr>
        <sz val="12"/>
        <color indexed="8"/>
        <rFont val="Times New Roman"/>
        <family val="1"/>
      </rPr>
      <t>(КОСГУ 211, 213)</t>
    </r>
  </si>
  <si>
    <r>
      <t>1.2) Иные выплаты (за исключением фонда оплаты труда)</t>
    </r>
    <r>
      <rPr>
        <b/>
        <sz val="12"/>
        <color indexed="8"/>
        <rFont val="Times New Roman"/>
        <family val="1"/>
      </rPr>
      <t xml:space="preserve"> * </t>
    </r>
    <r>
      <rPr>
        <sz val="12"/>
        <color indexed="8"/>
        <rFont val="Times New Roman"/>
        <family val="1"/>
      </rPr>
      <t>(КОСГУ 212)</t>
    </r>
  </si>
  <si>
    <r>
      <t xml:space="preserve">1.4) Расходы на обеспечение муниципальных нужд </t>
    </r>
    <r>
      <rPr>
        <b/>
        <sz val="12"/>
        <color indexed="8"/>
        <rFont val="Times New Roman"/>
        <family val="1"/>
      </rPr>
      <t xml:space="preserve">*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в т.ч.:
</t>
    </r>
  </si>
  <si>
    <r>
      <t xml:space="preserve">1.5)  Налоги и сборы 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>(КВР 85*)</t>
    </r>
  </si>
  <si>
    <r>
      <t xml:space="preserve">2.7) Субсидии на иные цели бюджетным и автономным учреждениям </t>
    </r>
    <r>
      <rPr>
        <i/>
        <sz val="12"/>
        <color indexed="8"/>
        <rFont val="Times New Roman"/>
        <family val="1"/>
      </rPr>
      <t>(за исключением расходов включённых в п.2.3- 2.6.) (КОСГУ 241)</t>
    </r>
  </si>
  <si>
    <r>
      <t xml:space="preserve">из них </t>
    </r>
    <r>
      <rPr>
        <b/>
        <sz val="12"/>
        <color indexed="8"/>
        <rFont val="Times New Roman"/>
        <family val="1"/>
      </rPr>
      <t>целевые</t>
    </r>
    <r>
      <rPr>
        <sz val="12"/>
        <color indexed="8"/>
        <rFont val="Times New Roman"/>
        <family val="1"/>
      </rPr>
      <t xml:space="preserve"> остатки на 01.01.15, 01.01.16</t>
    </r>
  </si>
  <si>
    <t>* Расходы казённых, бюджетных и автономных учреждений</t>
  </si>
  <si>
    <t xml:space="preserve">Анализ ожидаемого исполнения консолидированного бюджета МО  "Город Кедровый" в 2017 году </t>
  </si>
  <si>
    <t>3. Расходы - всего</t>
  </si>
  <si>
    <t>3.1.расходы за счет целевых средств областного и федерального бюджета, в т.ч.</t>
  </si>
  <si>
    <t>субвенции (без учета субвенции в РФФПП)</t>
  </si>
  <si>
    <t xml:space="preserve">субсидии  </t>
  </si>
  <si>
    <t xml:space="preserve">иные межбюджетные трансферты </t>
  </si>
  <si>
    <t>целевые остатки средств прошлых периодов</t>
  </si>
  <si>
    <t>3.2.расходы за счет налоговых и неналоговых доходов, нецелевой финансовой  помощи из   областного  бюджета, прочих безвозмездных поступлений</t>
  </si>
  <si>
    <t>Отклонение ожидаемого от плана на 01.09.2017</t>
  </si>
  <si>
    <t>2. Безвозмездные поступления, в т.ч.:</t>
  </si>
  <si>
    <t>2.8) Другие расходы (КОСГУ 226, 290…)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</si>
</sst>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#,##0.0"/>
    <numFmt numFmtId="179" formatCode="#,##0_ ;[Red]\-#,##0\ 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000"/>
    <numFmt numFmtId="186" formatCode="?"/>
    <numFmt numFmtId="187" formatCode="[$€-2]\ ###,000_);[Red]\([$€-2]\ ###,000\)"/>
    <numFmt numFmtId="188" formatCode="#,##0.0_р_."/>
    <numFmt numFmtId="189" formatCode="_-* #,##0.0_р_._-;\-* #,##0.0_р_._-;_-* &quot;-&quot;?_р_._-;_-@_-"/>
    <numFmt numFmtId="190" formatCode="[$-FC19]d\ mmmm\ yyyy\ &quot;г.&quot;"/>
    <numFmt numFmtId="191" formatCode="_-* #,##0_р_._-;\-* #,##0_р_._-;_-* &quot;-&quot;?_р_._-;_-@_-"/>
    <numFmt numFmtId="192" formatCode="#,##0.0_ ;\-#,##0.0\ "/>
    <numFmt numFmtId="193" formatCode="_-* #,##0.0\ _₽_-;\-* #,##0.0\ _₽_-;_-* &quot;-&quot;?\ _₽_-;_-@_-"/>
    <numFmt numFmtId="194" formatCode="_-* #,##0.00_р_._-;\-* #,##0.00_р_._-;_-* &quot;-&quot;?_р_._-;_-@_-"/>
    <numFmt numFmtId="195" formatCode="0.00000000"/>
    <numFmt numFmtId="196" formatCode="#,##0.00_р_."/>
    <numFmt numFmtId="197" formatCode="#,##0.00000"/>
  </numFmts>
  <fonts count="6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i/>
      <sz val="10"/>
      <color indexed="8"/>
      <name val="Times New Roman"/>
      <family val="1"/>
    </font>
    <font>
      <sz val="11.5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i/>
      <sz val="10"/>
      <name val="Arial Cyr"/>
      <family val="0"/>
    </font>
    <font>
      <b/>
      <i/>
      <sz val="11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88" fontId="14" fillId="33" borderId="10" xfId="0" applyNumberFormat="1" applyFont="1" applyFill="1" applyBorder="1" applyAlignment="1">
      <alignment vertical="center" wrapText="1"/>
    </xf>
    <xf numFmtId="188" fontId="14" fillId="33" borderId="10" xfId="0" applyNumberFormat="1" applyFont="1" applyFill="1" applyBorder="1" applyAlignment="1">
      <alignment horizontal="center" vertical="center" wrapText="1"/>
    </xf>
    <xf numFmtId="180" fontId="13" fillId="33" borderId="10" xfId="0" applyNumberFormat="1" applyFont="1" applyFill="1" applyBorder="1" applyAlignment="1">
      <alignment vertical="center" wrapText="1"/>
    </xf>
    <xf numFmtId="0" fontId="0" fillId="34" borderId="0" xfId="0" applyFill="1" applyAlignment="1">
      <alignment/>
    </xf>
    <xf numFmtId="188" fontId="14" fillId="35" borderId="10" xfId="0" applyNumberFormat="1" applyFont="1" applyFill="1" applyBorder="1" applyAlignment="1">
      <alignment vertical="center" wrapText="1"/>
    </xf>
    <xf numFmtId="180" fontId="14" fillId="35" borderId="10" xfId="0" applyNumberFormat="1" applyFont="1" applyFill="1" applyBorder="1" applyAlignment="1">
      <alignment vertical="center" wrapText="1"/>
    </xf>
    <xf numFmtId="180" fontId="13" fillId="35" borderId="10" xfId="0" applyNumberFormat="1" applyFont="1" applyFill="1" applyBorder="1" applyAlignment="1">
      <alignment vertical="center" wrapText="1"/>
    </xf>
    <xf numFmtId="188" fontId="13" fillId="0" borderId="10" xfId="0" applyNumberFormat="1" applyFont="1" applyBorder="1" applyAlignment="1">
      <alignment vertical="center" wrapText="1"/>
    </xf>
    <xf numFmtId="180" fontId="13" fillId="0" borderId="10" xfId="0" applyNumberFormat="1" applyFont="1" applyBorder="1" applyAlignment="1">
      <alignment vertical="center" wrapText="1"/>
    </xf>
    <xf numFmtId="188" fontId="14" fillId="36" borderId="10" xfId="0" applyNumberFormat="1" applyFont="1" applyFill="1" applyBorder="1" applyAlignment="1">
      <alignment vertical="center" wrapText="1"/>
    </xf>
    <xf numFmtId="180" fontId="13" fillId="36" borderId="10" xfId="0" applyNumberFormat="1" applyFont="1" applyFill="1" applyBorder="1" applyAlignment="1">
      <alignment vertical="center" wrapText="1"/>
    </xf>
    <xf numFmtId="0" fontId="16" fillId="0" borderId="0" xfId="0" applyFont="1" applyAlignment="1">
      <alignment/>
    </xf>
    <xf numFmtId="188" fontId="15" fillId="0" borderId="10" xfId="0" applyNumberFormat="1" applyFont="1" applyBorder="1" applyAlignment="1">
      <alignment vertical="center" wrapText="1"/>
    </xf>
    <xf numFmtId="188" fontId="0" fillId="33" borderId="10" xfId="0" applyNumberFormat="1" applyFill="1" applyBorder="1" applyAlignment="1">
      <alignment/>
    </xf>
    <xf numFmtId="188" fontId="10" fillId="0" borderId="10" xfId="0" applyNumberFormat="1" applyFont="1" applyBorder="1" applyAlignment="1">
      <alignment vertical="center" wrapText="1"/>
    </xf>
    <xf numFmtId="180" fontId="10" fillId="0" borderId="10" xfId="0" applyNumberFormat="1" applyFont="1" applyBorder="1" applyAlignment="1">
      <alignment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189" fontId="14" fillId="37" borderId="10" xfId="0" applyNumberFormat="1" applyFont="1" applyFill="1" applyBorder="1" applyAlignment="1">
      <alignment vertical="center" wrapText="1"/>
    </xf>
    <xf numFmtId="188" fontId="15" fillId="37" borderId="10" xfId="0" applyNumberFormat="1" applyFont="1" applyFill="1" applyBorder="1" applyAlignment="1">
      <alignment vertical="center" wrapText="1"/>
    </xf>
    <xf numFmtId="180" fontId="13" fillId="37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178" fontId="13" fillId="33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78" fontId="15" fillId="0" borderId="10" xfId="0" applyNumberFormat="1" applyFont="1" applyBorder="1" applyAlignment="1">
      <alignment vertical="center" wrapText="1"/>
    </xf>
    <xf numFmtId="180" fontId="17" fillId="0" borderId="0" xfId="0" applyNumberFormat="1" applyFont="1" applyAlignment="1">
      <alignment/>
    </xf>
    <xf numFmtId="3" fontId="14" fillId="33" borderId="10" xfId="0" applyNumberFormat="1" applyFont="1" applyFill="1" applyBorder="1" applyAlignment="1">
      <alignment vertical="center" wrapText="1"/>
    </xf>
    <xf numFmtId="178" fontId="13" fillId="0" borderId="10" xfId="0" applyNumberFormat="1" applyFont="1" applyBorder="1" applyAlignment="1">
      <alignment vertical="center" wrapText="1"/>
    </xf>
    <xf numFmtId="188" fontId="18" fillId="33" borderId="10" xfId="0" applyNumberFormat="1" applyFont="1" applyFill="1" applyBorder="1" applyAlignment="1">
      <alignment vertical="center" wrapText="1"/>
    </xf>
    <xf numFmtId="178" fontId="15" fillId="33" borderId="10" xfId="0" applyNumberFormat="1" applyFont="1" applyFill="1" applyBorder="1" applyAlignment="1">
      <alignment vertical="center" wrapText="1"/>
    </xf>
    <xf numFmtId="3" fontId="18" fillId="33" borderId="10" xfId="0" applyNumberFormat="1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192" fontId="1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2" fillId="0" borderId="0" xfId="0" applyFont="1" applyFill="1" applyBorder="1" applyAlignment="1">
      <alignment horizontal="left" vertical="center"/>
    </xf>
    <xf numFmtId="177" fontId="1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188" fontId="13" fillId="38" borderId="10" xfId="0" applyNumberFormat="1" applyFont="1" applyFill="1" applyBorder="1" applyAlignment="1">
      <alignment vertical="center" wrapText="1"/>
    </xf>
    <xf numFmtId="180" fontId="13" fillId="38" borderId="10" xfId="0" applyNumberFormat="1" applyFont="1" applyFill="1" applyBorder="1" applyAlignment="1">
      <alignment vertical="center" wrapText="1"/>
    </xf>
    <xf numFmtId="0" fontId="0" fillId="38" borderId="0" xfId="0" applyFill="1" applyAlignment="1">
      <alignment/>
    </xf>
    <xf numFmtId="0" fontId="16" fillId="39" borderId="0" xfId="0" applyFont="1" applyFill="1" applyAlignment="1">
      <alignment/>
    </xf>
    <xf numFmtId="177" fontId="1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177" fontId="16" fillId="40" borderId="0" xfId="0" applyNumberFormat="1" applyFont="1" applyFill="1" applyAlignment="1">
      <alignment/>
    </xf>
    <xf numFmtId="188" fontId="15" fillId="41" borderId="10" xfId="0" applyNumberFormat="1" applyFont="1" applyFill="1" applyBorder="1" applyAlignment="1">
      <alignment vertical="center" wrapText="1"/>
    </xf>
    <xf numFmtId="188" fontId="13" fillId="22" borderId="10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88" fontId="20" fillId="33" borderId="10" xfId="0" applyNumberFormat="1" applyFont="1" applyFill="1" applyBorder="1" applyAlignment="1">
      <alignment vertical="center" wrapText="1"/>
    </xf>
    <xf numFmtId="188" fontId="20" fillId="33" borderId="10" xfId="0" applyNumberFormat="1" applyFont="1" applyFill="1" applyBorder="1" applyAlignment="1">
      <alignment horizontal="center" vertical="center" wrapText="1"/>
    </xf>
    <xf numFmtId="180" fontId="20" fillId="33" borderId="10" xfId="0" applyNumberFormat="1" applyFont="1" applyFill="1" applyBorder="1" applyAlignment="1">
      <alignment vertical="center" wrapText="1"/>
    </xf>
    <xf numFmtId="0" fontId="20" fillId="35" borderId="10" xfId="0" applyFont="1" applyFill="1" applyBorder="1" applyAlignment="1">
      <alignment vertical="center" wrapText="1"/>
    </xf>
    <xf numFmtId="188" fontId="20" fillId="35" borderId="10" xfId="0" applyNumberFormat="1" applyFont="1" applyFill="1" applyBorder="1" applyAlignment="1">
      <alignment vertical="center" wrapText="1"/>
    </xf>
    <xf numFmtId="188" fontId="20" fillId="35" borderId="10" xfId="0" applyNumberFormat="1" applyFont="1" applyFill="1" applyBorder="1" applyAlignment="1">
      <alignment horizontal="center" vertical="center" wrapText="1"/>
    </xf>
    <xf numFmtId="188" fontId="20" fillId="35" borderId="10" xfId="0" applyNumberFormat="1" applyFont="1" applyFill="1" applyBorder="1" applyAlignment="1">
      <alignment horizontal="right" vertical="center" wrapText="1"/>
    </xf>
    <xf numFmtId="180" fontId="20" fillId="35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89" fontId="12" fillId="0" borderId="10" xfId="0" applyNumberFormat="1" applyFont="1" applyBorder="1" applyAlignment="1">
      <alignment vertical="center" wrapText="1"/>
    </xf>
    <xf numFmtId="188" fontId="12" fillId="0" borderId="10" xfId="0" applyNumberFormat="1" applyFont="1" applyBorder="1" applyAlignment="1">
      <alignment vertical="center" wrapText="1"/>
    </xf>
    <xf numFmtId="188" fontId="12" fillId="0" borderId="10" xfId="0" applyNumberFormat="1" applyFont="1" applyBorder="1" applyAlignment="1">
      <alignment horizontal="center" vertical="center" wrapText="1"/>
    </xf>
    <xf numFmtId="188" fontId="12" fillId="0" borderId="10" xfId="0" applyNumberFormat="1" applyFont="1" applyBorder="1" applyAlignment="1">
      <alignment horizontal="right" vertical="center" wrapText="1"/>
    </xf>
    <xf numFmtId="180" fontId="12" fillId="0" borderId="10" xfId="0" applyNumberFormat="1" applyFont="1" applyBorder="1" applyAlignment="1">
      <alignment vertical="center" wrapText="1"/>
    </xf>
    <xf numFmtId="189" fontId="12" fillId="38" borderId="10" xfId="0" applyNumberFormat="1" applyFont="1" applyFill="1" applyBorder="1" applyAlignment="1">
      <alignment vertical="center" wrapText="1"/>
    </xf>
    <xf numFmtId="188" fontId="12" fillId="38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horizontal="right" vertical="center" wrapText="1"/>
    </xf>
    <xf numFmtId="180" fontId="12" fillId="0" borderId="10" xfId="0" applyNumberFormat="1" applyFont="1" applyFill="1" applyBorder="1" applyAlignment="1">
      <alignment vertical="center" wrapText="1"/>
    </xf>
    <xf numFmtId="180" fontId="12" fillId="42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189" fontId="12" fillId="0" borderId="10" xfId="0" applyNumberFormat="1" applyFont="1" applyFill="1" applyBorder="1" applyAlignment="1">
      <alignment vertical="center" wrapText="1"/>
    </xf>
    <xf numFmtId="0" fontId="20" fillId="36" borderId="10" xfId="0" applyFont="1" applyFill="1" applyBorder="1" applyAlignment="1">
      <alignment vertical="center" wrapText="1"/>
    </xf>
    <xf numFmtId="189" fontId="20" fillId="36" borderId="10" xfId="0" applyNumberFormat="1" applyFont="1" applyFill="1" applyBorder="1" applyAlignment="1">
      <alignment vertical="center" wrapText="1"/>
    </xf>
    <xf numFmtId="188" fontId="20" fillId="36" borderId="10" xfId="0" applyNumberFormat="1" applyFont="1" applyFill="1" applyBorder="1" applyAlignment="1">
      <alignment vertical="center" wrapText="1"/>
    </xf>
    <xf numFmtId="188" fontId="20" fillId="36" borderId="10" xfId="0" applyNumberFormat="1" applyFont="1" applyFill="1" applyBorder="1" applyAlignment="1">
      <alignment horizontal="right" vertical="center" wrapText="1"/>
    </xf>
    <xf numFmtId="180" fontId="20" fillId="36" borderId="10" xfId="0" applyNumberFormat="1" applyFont="1" applyFill="1" applyBorder="1" applyAlignment="1">
      <alignment vertical="center" wrapText="1"/>
    </xf>
    <xf numFmtId="0" fontId="12" fillId="38" borderId="10" xfId="0" applyFont="1" applyFill="1" applyBorder="1" applyAlignment="1">
      <alignment vertical="center" wrapText="1"/>
    </xf>
    <xf numFmtId="2" fontId="12" fillId="38" borderId="10" xfId="0" applyNumberFormat="1" applyFont="1" applyFill="1" applyBorder="1" applyAlignment="1">
      <alignment vertical="center" wrapText="1"/>
    </xf>
    <xf numFmtId="188" fontId="12" fillId="38" borderId="10" xfId="0" applyNumberFormat="1" applyFont="1" applyFill="1" applyBorder="1" applyAlignment="1">
      <alignment horizontal="center" vertical="center" wrapText="1"/>
    </xf>
    <xf numFmtId="188" fontId="12" fillId="38" borderId="10" xfId="0" applyNumberFormat="1" applyFont="1" applyFill="1" applyBorder="1" applyAlignment="1">
      <alignment horizontal="right" vertical="center" wrapText="1"/>
    </xf>
    <xf numFmtId="180" fontId="12" fillId="38" borderId="10" xfId="0" applyNumberFormat="1" applyFont="1" applyFill="1" applyBorder="1" applyAlignment="1">
      <alignment vertical="center" wrapText="1"/>
    </xf>
    <xf numFmtId="192" fontId="12" fillId="0" borderId="10" xfId="0" applyNumberFormat="1" applyFont="1" applyBorder="1" applyAlignment="1">
      <alignment vertical="center" wrapText="1"/>
    </xf>
    <xf numFmtId="189" fontId="21" fillId="0" borderId="10" xfId="0" applyNumberFormat="1" applyFont="1" applyBorder="1" applyAlignment="1">
      <alignment vertical="center" wrapText="1"/>
    </xf>
    <xf numFmtId="188" fontId="21" fillId="0" borderId="10" xfId="0" applyNumberFormat="1" applyFont="1" applyBorder="1" applyAlignment="1">
      <alignment vertical="center" wrapText="1"/>
    </xf>
    <xf numFmtId="188" fontId="20" fillId="33" borderId="10" xfId="0" applyNumberFormat="1" applyFont="1" applyFill="1" applyBorder="1" applyAlignment="1">
      <alignment horizontal="right" vertical="center" wrapText="1"/>
    </xf>
    <xf numFmtId="189" fontId="20" fillId="33" borderId="10" xfId="0" applyNumberFormat="1" applyFont="1" applyFill="1" applyBorder="1" applyAlignment="1">
      <alignment horizontal="left" vertical="center" wrapText="1" indent="1"/>
    </xf>
    <xf numFmtId="188" fontId="20" fillId="33" borderId="10" xfId="0" applyNumberFormat="1" applyFont="1" applyFill="1" applyBorder="1" applyAlignment="1">
      <alignment horizontal="left" vertical="center" wrapText="1" indent="1"/>
    </xf>
    <xf numFmtId="180" fontId="6" fillId="33" borderId="10" xfId="0" applyNumberFormat="1" applyFont="1" applyFill="1" applyBorder="1" applyAlignment="1">
      <alignment/>
    </xf>
    <xf numFmtId="180" fontId="21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left" vertical="top" wrapText="1"/>
    </xf>
    <xf numFmtId="178" fontId="12" fillId="0" borderId="10" xfId="0" applyNumberFormat="1" applyFont="1" applyBorder="1" applyAlignment="1">
      <alignment vertical="center" wrapText="1"/>
    </xf>
    <xf numFmtId="178" fontId="12" fillId="38" borderId="10" xfId="0" applyNumberFormat="1" applyFont="1" applyFill="1" applyBorder="1" applyAlignment="1">
      <alignment vertical="center" wrapText="1"/>
    </xf>
    <xf numFmtId="177" fontId="12" fillId="0" borderId="10" xfId="0" applyNumberFormat="1" applyFont="1" applyBorder="1" applyAlignment="1">
      <alignment vertical="center" wrapText="1"/>
    </xf>
    <xf numFmtId="188" fontId="21" fillId="38" borderId="10" xfId="0" applyNumberFormat="1" applyFont="1" applyFill="1" applyBorder="1" applyAlignment="1">
      <alignment vertical="center" wrapText="1"/>
    </xf>
    <xf numFmtId="188" fontId="21" fillId="0" borderId="10" xfId="0" applyNumberFormat="1" applyFont="1" applyBorder="1" applyAlignment="1">
      <alignment horizontal="right" vertical="center" wrapText="1"/>
    </xf>
    <xf numFmtId="0" fontId="22" fillId="0" borderId="10" xfId="0" applyFont="1" applyBorder="1" applyAlignment="1">
      <alignment horizontal="left" vertical="top" wrapText="1"/>
    </xf>
    <xf numFmtId="189" fontId="21" fillId="41" borderId="10" xfId="0" applyNumberFormat="1" applyFont="1" applyFill="1" applyBorder="1" applyAlignment="1">
      <alignment vertical="center" wrapText="1"/>
    </xf>
    <xf numFmtId="188" fontId="21" fillId="41" borderId="10" xfId="0" applyNumberFormat="1" applyFont="1" applyFill="1" applyBorder="1" applyAlignment="1">
      <alignment vertical="center" wrapText="1"/>
    </xf>
    <xf numFmtId="180" fontId="12" fillId="0" borderId="10" xfId="0" applyNumberFormat="1" applyFont="1" applyBorder="1" applyAlignment="1">
      <alignment horizontal="right" vertical="center" wrapText="1"/>
    </xf>
    <xf numFmtId="189" fontId="20" fillId="37" borderId="10" xfId="0" applyNumberFormat="1" applyFont="1" applyFill="1" applyBorder="1" applyAlignment="1">
      <alignment vertical="center" wrapText="1"/>
    </xf>
    <xf numFmtId="189" fontId="12" fillId="37" borderId="10" xfId="0" applyNumberFormat="1" applyFont="1" applyFill="1" applyBorder="1" applyAlignment="1">
      <alignment vertical="center" wrapText="1"/>
    </xf>
    <xf numFmtId="188" fontId="12" fillId="37" borderId="10" xfId="0" applyNumberFormat="1" applyFont="1" applyFill="1" applyBorder="1" applyAlignment="1">
      <alignment horizontal="right" vertical="center" wrapText="1"/>
    </xf>
    <xf numFmtId="180" fontId="21" fillId="37" borderId="10" xfId="0" applyNumberFormat="1" applyFont="1" applyFill="1" applyBorder="1" applyAlignment="1">
      <alignment vertical="center" wrapText="1"/>
    </xf>
    <xf numFmtId="189" fontId="20" fillId="38" borderId="10" xfId="0" applyNumberFormat="1" applyFont="1" applyFill="1" applyBorder="1" applyAlignment="1">
      <alignment vertical="center" wrapText="1"/>
    </xf>
    <xf numFmtId="188" fontId="12" fillId="37" borderId="10" xfId="0" applyNumberFormat="1" applyFont="1" applyFill="1" applyBorder="1" applyAlignment="1">
      <alignment vertical="center" wrapText="1"/>
    </xf>
    <xf numFmtId="188" fontId="21" fillId="37" borderId="10" xfId="0" applyNumberFormat="1" applyFont="1" applyFill="1" applyBorder="1" applyAlignment="1">
      <alignment vertical="center" wrapText="1"/>
    </xf>
    <xf numFmtId="196" fontId="20" fillId="33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89" fontId="6" fillId="0" borderId="10" xfId="0" applyNumberFormat="1" applyFont="1" applyBorder="1" applyAlignment="1">
      <alignment vertical="center" wrapText="1"/>
    </xf>
    <xf numFmtId="188" fontId="6" fillId="0" borderId="10" xfId="0" applyNumberFormat="1" applyFont="1" applyBorder="1" applyAlignment="1">
      <alignment vertical="center" wrapText="1"/>
    </xf>
    <xf numFmtId="189" fontId="60" fillId="0" borderId="10" xfId="0" applyNumberFormat="1" applyFont="1" applyBorder="1" applyAlignment="1">
      <alignment vertical="center" wrapText="1"/>
    </xf>
    <xf numFmtId="188" fontId="60" fillId="0" borderId="10" xfId="0" applyNumberFormat="1" applyFont="1" applyBorder="1" applyAlignment="1">
      <alignment vertical="center" wrapText="1"/>
    </xf>
    <xf numFmtId="0" fontId="23" fillId="33" borderId="10" xfId="0" applyFont="1" applyFill="1" applyBorder="1" applyAlignment="1">
      <alignment vertical="center" wrapText="1"/>
    </xf>
    <xf numFmtId="189" fontId="23" fillId="33" borderId="10" xfId="0" applyNumberFormat="1" applyFont="1" applyFill="1" applyBorder="1" applyAlignment="1">
      <alignment vertical="center" wrapText="1"/>
    </xf>
    <xf numFmtId="188" fontId="23" fillId="33" borderId="10" xfId="0" applyNumberFormat="1" applyFont="1" applyFill="1" applyBorder="1" applyAlignment="1">
      <alignment horizontal="center" vertical="center" wrapText="1"/>
    </xf>
    <xf numFmtId="188" fontId="23" fillId="33" borderId="10" xfId="0" applyNumberFormat="1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191" fontId="20" fillId="33" borderId="10" xfId="0" applyNumberFormat="1" applyFont="1" applyFill="1" applyBorder="1" applyAlignment="1">
      <alignment vertical="center" wrapText="1"/>
    </xf>
    <xf numFmtId="1" fontId="20" fillId="33" borderId="1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80" fontId="12" fillId="43" borderId="10" xfId="0" applyNumberFormat="1" applyFont="1" applyFill="1" applyBorder="1" applyAlignment="1">
      <alignment vertical="center" wrapText="1"/>
    </xf>
    <xf numFmtId="188" fontId="12" fillId="0" borderId="10" xfId="0" applyNumberFormat="1" applyFont="1" applyFill="1" applyBorder="1" applyAlignment="1">
      <alignment horizontal="center" vertical="center" wrapText="1"/>
    </xf>
    <xf numFmtId="0" fontId="20" fillId="37" borderId="10" xfId="0" applyFont="1" applyFill="1" applyBorder="1" applyAlignment="1">
      <alignment vertical="center" wrapText="1"/>
    </xf>
    <xf numFmtId="188" fontId="20" fillId="37" borderId="10" xfId="0" applyNumberFormat="1" applyFont="1" applyFill="1" applyBorder="1" applyAlignment="1">
      <alignment vertical="center" wrapText="1"/>
    </xf>
    <xf numFmtId="188" fontId="20" fillId="37" borderId="10" xfId="0" applyNumberFormat="1" applyFont="1" applyFill="1" applyBorder="1" applyAlignment="1">
      <alignment horizontal="center" vertical="center" wrapText="1"/>
    </xf>
    <xf numFmtId="188" fontId="20" fillId="37" borderId="10" xfId="0" applyNumberFormat="1" applyFont="1" applyFill="1" applyBorder="1" applyAlignment="1">
      <alignment horizontal="right" vertical="center" wrapText="1"/>
    </xf>
    <xf numFmtId="180" fontId="20" fillId="37" borderId="10" xfId="0" applyNumberFormat="1" applyFont="1" applyFill="1" applyBorder="1" applyAlignment="1">
      <alignment vertical="center" wrapText="1"/>
    </xf>
    <xf numFmtId="188" fontId="20" fillId="38" borderId="10" xfId="0" applyNumberFormat="1" applyFont="1" applyFill="1" applyBorder="1" applyAlignment="1">
      <alignment vertical="center" wrapText="1"/>
    </xf>
    <xf numFmtId="180" fontId="20" fillId="0" borderId="10" xfId="0" applyNumberFormat="1" applyFont="1" applyBorder="1" applyAlignment="1">
      <alignment vertical="center" wrapText="1"/>
    </xf>
    <xf numFmtId="0" fontId="24" fillId="0" borderId="0" xfId="0" applyFont="1" applyAlignment="1">
      <alignment/>
    </xf>
    <xf numFmtId="189" fontId="20" fillId="0" borderId="10" xfId="0" applyNumberFormat="1" applyFont="1" applyFill="1" applyBorder="1" applyAlignment="1">
      <alignment vertical="center" wrapText="1"/>
    </xf>
    <xf numFmtId="0" fontId="12" fillId="42" borderId="10" xfId="0" applyNumberFormat="1" applyFont="1" applyFill="1" applyBorder="1" applyAlignment="1">
      <alignment vertical="center" wrapText="1"/>
    </xf>
    <xf numFmtId="0" fontId="20" fillId="35" borderId="10" xfId="0" applyNumberFormat="1" applyFont="1" applyFill="1" applyBorder="1" applyAlignment="1">
      <alignment horizontal="center" vertical="center" wrapText="1"/>
    </xf>
    <xf numFmtId="192" fontId="12" fillId="0" borderId="10" xfId="0" applyNumberFormat="1" applyFont="1" applyBorder="1" applyAlignment="1">
      <alignment horizontal="center" vertical="center" wrapText="1"/>
    </xf>
    <xf numFmtId="189" fontId="20" fillId="0" borderId="10" xfId="0" applyNumberFormat="1" applyFont="1" applyFill="1" applyBorder="1" applyAlignment="1">
      <alignment horizontal="center" vertical="center" wrapText="1"/>
    </xf>
    <xf numFmtId="180" fontId="20" fillId="43" borderId="10" xfId="0" applyNumberFormat="1" applyFont="1" applyFill="1" applyBorder="1" applyAlignment="1">
      <alignment horizontal="center" vertical="center" wrapText="1"/>
    </xf>
    <xf numFmtId="180" fontId="20" fillId="42" borderId="10" xfId="0" applyNumberFormat="1" applyFont="1" applyFill="1" applyBorder="1" applyAlignment="1">
      <alignment horizontal="center" vertical="center" wrapText="1"/>
    </xf>
    <xf numFmtId="180" fontId="21" fillId="0" borderId="10" xfId="0" applyNumberFormat="1" applyFont="1" applyFill="1" applyBorder="1" applyAlignment="1">
      <alignment vertical="center" wrapText="1"/>
    </xf>
    <xf numFmtId="189" fontId="21" fillId="0" borderId="10" xfId="0" applyNumberFormat="1" applyFont="1" applyFill="1" applyBorder="1" applyAlignment="1">
      <alignment vertical="center" wrapText="1"/>
    </xf>
    <xf numFmtId="188" fontId="21" fillId="0" borderId="10" xfId="0" applyNumberFormat="1" applyFont="1" applyFill="1" applyBorder="1" applyAlignment="1">
      <alignment vertical="center" wrapText="1"/>
    </xf>
    <xf numFmtId="194" fontId="12" fillId="0" borderId="10" xfId="0" applyNumberFormat="1" applyFont="1" applyFill="1" applyBorder="1" applyAlignment="1">
      <alignment vertical="center" wrapText="1"/>
    </xf>
    <xf numFmtId="188" fontId="13" fillId="0" borderId="10" xfId="0" applyNumberFormat="1" applyFont="1" applyFill="1" applyBorder="1" applyAlignment="1">
      <alignment vertical="center" wrapText="1"/>
    </xf>
    <xf numFmtId="180" fontId="13" fillId="0" borderId="10" xfId="0" applyNumberFormat="1" applyFont="1" applyFill="1" applyBorder="1" applyAlignment="1">
      <alignment vertical="center" wrapText="1"/>
    </xf>
    <xf numFmtId="189" fontId="12" fillId="0" borderId="13" xfId="0" applyNumberFormat="1" applyFont="1" applyFill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3" fillId="22" borderId="15" xfId="0" applyFont="1" applyFill="1" applyBorder="1" applyAlignment="1">
      <alignment horizontal="center" vertical="center" wrapText="1"/>
    </xf>
    <xf numFmtId="0" fontId="13" fillId="22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M159"/>
  <sheetViews>
    <sheetView tabSelected="1" view="pageBreakPreview" zoomScale="60" zoomScaleNormal="73" workbookViewId="0" topLeftCell="A137">
      <selection activeCell="A17" sqref="A17"/>
    </sheetView>
  </sheetViews>
  <sheetFormatPr defaultColWidth="9.00390625" defaultRowHeight="12.75"/>
  <cols>
    <col min="1" max="1" width="44.625" style="4" customWidth="1"/>
    <col min="2" max="2" width="14.625" style="4" customWidth="1"/>
    <col min="3" max="3" width="12.125" style="4" hidden="1" customWidth="1"/>
    <col min="4" max="5" width="14.875" style="4" customWidth="1"/>
    <col min="6" max="6" width="12.50390625" style="4" hidden="1" customWidth="1"/>
    <col min="7" max="8" width="12.50390625" style="4" customWidth="1"/>
    <col min="9" max="9" width="13.875" style="4" hidden="1" customWidth="1"/>
    <col min="10" max="10" width="12.875" style="4" customWidth="1"/>
    <col min="11" max="11" width="12.625" style="0" hidden="1" customWidth="1"/>
    <col min="12" max="12" width="12.50390625" style="0" hidden="1" customWidth="1"/>
    <col min="13" max="14" width="11.00390625" style="0" hidden="1" customWidth="1"/>
    <col min="16" max="16" width="10.375" style="0" hidden="1" customWidth="1"/>
    <col min="17" max="18" width="9.00390625" style="0" hidden="1" customWidth="1"/>
    <col min="19" max="19" width="0" style="0" hidden="1" customWidth="1"/>
    <col min="20" max="20" width="11.375" style="0" hidden="1" customWidth="1"/>
    <col min="21" max="21" width="0" style="0" hidden="1" customWidth="1"/>
  </cols>
  <sheetData>
    <row r="1" spans="12:14" ht="45.75" customHeight="1">
      <c r="L1" s="172" t="s">
        <v>68</v>
      </c>
      <c r="M1" s="172"/>
      <c r="N1" s="172"/>
    </row>
    <row r="2" spans="12:14" ht="18.75" customHeight="1">
      <c r="L2" s="48" t="s">
        <v>69</v>
      </c>
      <c r="M2" s="45"/>
      <c r="N2" s="45"/>
    </row>
    <row r="3" spans="1:14" s="2" customFormat="1" ht="36" customHeight="1">
      <c r="A3" s="177" t="s">
        <v>153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</row>
    <row r="4" spans="1:14" ht="16.5" customHeight="1">
      <c r="A4" s="58" t="s">
        <v>52</v>
      </c>
      <c r="B4" s="59"/>
      <c r="C4" s="59"/>
      <c r="D4" s="59"/>
      <c r="E4" s="59"/>
      <c r="F4" s="59"/>
      <c r="G4" s="59"/>
      <c r="H4" s="59"/>
      <c r="I4" s="59"/>
      <c r="J4" s="59"/>
      <c r="K4" s="6"/>
      <c r="L4" s="6"/>
      <c r="M4" s="6"/>
      <c r="N4" s="7"/>
    </row>
    <row r="5" spans="1:14" ht="113.25" customHeight="1">
      <c r="A5" s="168" t="s">
        <v>3</v>
      </c>
      <c r="B5" s="168" t="s">
        <v>58</v>
      </c>
      <c r="C5" s="168" t="s">
        <v>59</v>
      </c>
      <c r="D5" s="169" t="s">
        <v>60</v>
      </c>
      <c r="E5" s="170" t="s">
        <v>61</v>
      </c>
      <c r="F5" s="169" t="s">
        <v>62</v>
      </c>
      <c r="G5" s="169"/>
      <c r="H5" s="170" t="s">
        <v>161</v>
      </c>
      <c r="I5" s="169" t="s">
        <v>63</v>
      </c>
      <c r="J5" s="169" t="s">
        <v>64</v>
      </c>
      <c r="K5" s="173" t="s">
        <v>65</v>
      </c>
      <c r="L5" s="174"/>
      <c r="M5" s="173" t="s">
        <v>66</v>
      </c>
      <c r="N5" s="174"/>
    </row>
    <row r="6" spans="1:14" ht="28.5" customHeight="1" hidden="1">
      <c r="A6" s="168"/>
      <c r="B6" s="168"/>
      <c r="C6" s="168"/>
      <c r="D6" s="169"/>
      <c r="E6" s="171"/>
      <c r="F6" s="60" t="s">
        <v>5</v>
      </c>
      <c r="G6" s="60" t="s">
        <v>6</v>
      </c>
      <c r="H6" s="171"/>
      <c r="I6" s="169"/>
      <c r="J6" s="169"/>
      <c r="K6" s="9" t="s">
        <v>7</v>
      </c>
      <c r="L6" s="9" t="s">
        <v>6</v>
      </c>
      <c r="M6" s="10" t="s">
        <v>8</v>
      </c>
      <c r="N6" s="10" t="s">
        <v>9</v>
      </c>
    </row>
    <row r="7" spans="1:14" ht="16.5" customHeight="1">
      <c r="A7" s="8">
        <v>1</v>
      </c>
      <c r="B7" s="8">
        <v>2</v>
      </c>
      <c r="C7" s="8">
        <v>3</v>
      </c>
      <c r="D7" s="60">
        <v>4</v>
      </c>
      <c r="E7" s="61">
        <v>5</v>
      </c>
      <c r="F7" s="60">
        <v>6</v>
      </c>
      <c r="G7" s="60">
        <v>7</v>
      </c>
      <c r="H7" s="61" t="s">
        <v>10</v>
      </c>
      <c r="I7" s="60">
        <v>9</v>
      </c>
      <c r="J7" s="60">
        <v>10</v>
      </c>
      <c r="K7" s="9">
        <v>11</v>
      </c>
      <c r="L7" s="9">
        <v>12</v>
      </c>
      <c r="M7" s="10">
        <v>13</v>
      </c>
      <c r="N7" s="10">
        <v>14</v>
      </c>
    </row>
    <row r="8" spans="1:65" s="14" customFormat="1" ht="60.75" customHeight="1">
      <c r="A8" s="62" t="s">
        <v>145</v>
      </c>
      <c r="B8" s="63">
        <f>B9+B28</f>
        <v>149571.35</v>
      </c>
      <c r="C8" s="63">
        <f>C9+C28</f>
        <v>75519.8</v>
      </c>
      <c r="D8" s="63">
        <f>D9+D28</f>
        <v>153777.6</v>
      </c>
      <c r="E8" s="64" t="s">
        <v>1</v>
      </c>
      <c r="F8" s="63">
        <f>F9+F28</f>
        <v>0</v>
      </c>
      <c r="G8" s="63">
        <f>G9+G28</f>
        <v>153777.6</v>
      </c>
      <c r="H8" s="63">
        <f aca="true" t="shared" si="0" ref="H8:H25">G8-D8</f>
        <v>0</v>
      </c>
      <c r="I8" s="65">
        <f>F8/B8</f>
        <v>0</v>
      </c>
      <c r="J8" s="65">
        <f>G8/B8</f>
        <v>1.0281220300545526</v>
      </c>
      <c r="K8" s="11">
        <f>K9+K28</f>
        <v>0</v>
      </c>
      <c r="L8" s="11">
        <f>L9+L28</f>
        <v>58414.5</v>
      </c>
      <c r="M8" s="13" t="e">
        <f aca="true" t="shared" si="1" ref="M8:M27">K8/F8</f>
        <v>#DIV/0!</v>
      </c>
      <c r="N8" s="13">
        <f aca="true" t="shared" si="2" ref="N8:N27">L8/G8</f>
        <v>0.37986351718325684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14" ht="33" customHeight="1">
      <c r="A9" s="66" t="s">
        <v>11</v>
      </c>
      <c r="B9" s="67">
        <f>B11+B18</f>
        <v>26534.1</v>
      </c>
      <c r="C9" s="67">
        <f>C11+C18</f>
        <v>22709.8</v>
      </c>
      <c r="D9" s="67">
        <f>D11+D18</f>
        <v>22709.8</v>
      </c>
      <c r="E9" s="68" t="s">
        <v>1</v>
      </c>
      <c r="F9" s="67">
        <f>F11+F18</f>
        <v>0</v>
      </c>
      <c r="G9" s="67">
        <f>G11+G18</f>
        <v>22709.8</v>
      </c>
      <c r="H9" s="69">
        <f t="shared" si="0"/>
        <v>0</v>
      </c>
      <c r="I9" s="70">
        <f>F9/B9</f>
        <v>0</v>
      </c>
      <c r="J9" s="70">
        <f>G9/B9</f>
        <v>0.8558722549474073</v>
      </c>
      <c r="K9" s="15">
        <f>K11+K18</f>
        <v>0</v>
      </c>
      <c r="L9" s="15">
        <f>L11+L18</f>
        <v>22668.7</v>
      </c>
      <c r="M9" s="17" t="e">
        <f t="shared" si="1"/>
        <v>#DIV/0!</v>
      </c>
      <c r="N9" s="17">
        <f t="shared" si="2"/>
        <v>0.9981902086323966</v>
      </c>
    </row>
    <row r="10" spans="1:14" ht="15">
      <c r="A10" s="71" t="s">
        <v>30</v>
      </c>
      <c r="B10" s="72"/>
      <c r="C10" s="73"/>
      <c r="D10" s="73"/>
      <c r="E10" s="74" t="s">
        <v>1</v>
      </c>
      <c r="F10" s="73"/>
      <c r="G10" s="73"/>
      <c r="H10" s="75">
        <f t="shared" si="0"/>
        <v>0</v>
      </c>
      <c r="I10" s="76"/>
      <c r="J10" s="76"/>
      <c r="K10" s="18"/>
      <c r="L10" s="18"/>
      <c r="M10" s="19" t="e">
        <f t="shared" si="1"/>
        <v>#DIV/0!</v>
      </c>
      <c r="N10" s="19" t="e">
        <f t="shared" si="2"/>
        <v>#DIV/0!</v>
      </c>
    </row>
    <row r="11" spans="1:14" ht="18" customHeight="1">
      <c r="A11" s="71" t="s">
        <v>31</v>
      </c>
      <c r="B11" s="77">
        <v>13999</v>
      </c>
      <c r="C11" s="73">
        <v>13779.8</v>
      </c>
      <c r="D11" s="73">
        <v>13779.8</v>
      </c>
      <c r="E11" s="74" t="s">
        <v>1</v>
      </c>
      <c r="F11" s="78"/>
      <c r="G11" s="82">
        <v>12878.3</v>
      </c>
      <c r="H11" s="79">
        <f>G11-D11</f>
        <v>-901.5</v>
      </c>
      <c r="I11" s="80">
        <f aca="true" t="shared" si="3" ref="I11:I22">F11/B11</f>
        <v>0</v>
      </c>
      <c r="J11" s="81">
        <f>G11/B11</f>
        <v>0.9199442817344096</v>
      </c>
      <c r="K11" s="49"/>
      <c r="L11" s="57">
        <v>14018.1</v>
      </c>
      <c r="M11" s="19" t="e">
        <f t="shared" si="1"/>
        <v>#DIV/0!</v>
      </c>
      <c r="N11" s="19">
        <f t="shared" si="2"/>
        <v>1.0885054704425274</v>
      </c>
    </row>
    <row r="12" spans="1:14" ht="18" customHeight="1">
      <c r="A12" s="71" t="s">
        <v>32</v>
      </c>
      <c r="B12" s="72">
        <v>8082.1</v>
      </c>
      <c r="C12" s="73">
        <v>7992.3</v>
      </c>
      <c r="D12" s="73">
        <v>7992.3</v>
      </c>
      <c r="E12" s="74" t="s">
        <v>1</v>
      </c>
      <c r="F12" s="78"/>
      <c r="G12" s="82">
        <v>8120.1</v>
      </c>
      <c r="H12" s="75">
        <f t="shared" si="0"/>
        <v>127.80000000000018</v>
      </c>
      <c r="I12" s="80">
        <f t="shared" si="3"/>
        <v>0</v>
      </c>
      <c r="J12" s="81">
        <f aca="true" t="shared" si="4" ref="J12:J22">G12/B12</f>
        <v>1.0047017483079892</v>
      </c>
      <c r="K12" s="49"/>
      <c r="L12" s="57">
        <v>8158.5</v>
      </c>
      <c r="M12" s="19" t="e">
        <f t="shared" si="1"/>
        <v>#DIV/0!</v>
      </c>
      <c r="N12" s="19">
        <f t="shared" si="2"/>
        <v>1.0047290058004212</v>
      </c>
    </row>
    <row r="13" spans="1:14" ht="18" customHeight="1">
      <c r="A13" s="71" t="s">
        <v>33</v>
      </c>
      <c r="B13" s="72">
        <v>2308.8</v>
      </c>
      <c r="C13" s="73">
        <v>1617</v>
      </c>
      <c r="D13" s="73">
        <v>1617</v>
      </c>
      <c r="E13" s="74" t="s">
        <v>1</v>
      </c>
      <c r="F13" s="78"/>
      <c r="G13" s="82">
        <v>1684</v>
      </c>
      <c r="H13" s="75">
        <f>G13-D13</f>
        <v>67</v>
      </c>
      <c r="I13" s="80">
        <f t="shared" si="3"/>
        <v>0</v>
      </c>
      <c r="J13" s="81">
        <f t="shared" si="4"/>
        <v>0.7293832293832293</v>
      </c>
      <c r="K13" s="49"/>
      <c r="L13" s="57">
        <v>1655</v>
      </c>
      <c r="M13" s="19" t="e">
        <f t="shared" si="1"/>
        <v>#DIV/0!</v>
      </c>
      <c r="N13" s="19">
        <f t="shared" si="2"/>
        <v>0.9827790973871734</v>
      </c>
    </row>
    <row r="14" spans="1:14" ht="18" customHeight="1">
      <c r="A14" s="71" t="s">
        <v>34</v>
      </c>
      <c r="B14" s="72">
        <v>1193.3</v>
      </c>
      <c r="C14" s="73">
        <v>1200</v>
      </c>
      <c r="D14" s="73">
        <v>1200</v>
      </c>
      <c r="E14" s="74" t="s">
        <v>1</v>
      </c>
      <c r="F14" s="78"/>
      <c r="G14" s="82">
        <v>780</v>
      </c>
      <c r="H14" s="75">
        <f t="shared" si="0"/>
        <v>-420</v>
      </c>
      <c r="I14" s="80">
        <f t="shared" si="3"/>
        <v>0</v>
      </c>
      <c r="J14" s="81">
        <f t="shared" si="4"/>
        <v>0.6536495432833319</v>
      </c>
      <c r="K14" s="49"/>
      <c r="L14" s="57">
        <v>1239.3</v>
      </c>
      <c r="M14" s="19" t="e">
        <f t="shared" si="1"/>
        <v>#DIV/0!</v>
      </c>
      <c r="N14" s="19">
        <f t="shared" si="2"/>
        <v>1.5888461538461538</v>
      </c>
    </row>
    <row r="15" spans="1:14" ht="18" customHeight="1">
      <c r="A15" s="71" t="s">
        <v>35</v>
      </c>
      <c r="B15" s="72">
        <v>1632.3</v>
      </c>
      <c r="C15" s="73">
        <v>2000</v>
      </c>
      <c r="D15" s="73">
        <v>2000</v>
      </c>
      <c r="E15" s="74" t="s">
        <v>1</v>
      </c>
      <c r="F15" s="78"/>
      <c r="G15" s="82">
        <v>1420</v>
      </c>
      <c r="H15" s="75">
        <f t="shared" si="0"/>
        <v>-580</v>
      </c>
      <c r="I15" s="80">
        <f t="shared" si="3"/>
        <v>0</v>
      </c>
      <c r="J15" s="81">
        <f t="shared" si="4"/>
        <v>0.8699381241193408</v>
      </c>
      <c r="K15" s="49"/>
      <c r="L15" s="57">
        <v>2028.7</v>
      </c>
      <c r="M15" s="19" t="e">
        <f t="shared" si="1"/>
        <v>#DIV/0!</v>
      </c>
      <c r="N15" s="19">
        <f t="shared" si="2"/>
        <v>1.4286619718309859</v>
      </c>
    </row>
    <row r="16" spans="1:14" ht="18" customHeight="1">
      <c r="A16" s="71" t="s">
        <v>36</v>
      </c>
      <c r="B16" s="72">
        <v>94.2</v>
      </c>
      <c r="C16" s="73">
        <v>161.5</v>
      </c>
      <c r="D16" s="73">
        <v>161.5</v>
      </c>
      <c r="E16" s="74" t="s">
        <v>1</v>
      </c>
      <c r="F16" s="78"/>
      <c r="G16" s="82">
        <v>105</v>
      </c>
      <c r="H16" s="75">
        <f t="shared" si="0"/>
        <v>-56.5</v>
      </c>
      <c r="I16" s="80">
        <f t="shared" si="3"/>
        <v>0</v>
      </c>
      <c r="J16" s="81">
        <f t="shared" si="4"/>
        <v>1.1146496815286624</v>
      </c>
      <c r="K16" s="49"/>
      <c r="L16" s="57">
        <v>99.3</v>
      </c>
      <c r="M16" s="19" t="e">
        <f t="shared" si="1"/>
        <v>#DIV/0!</v>
      </c>
      <c r="N16" s="19">
        <f t="shared" si="2"/>
        <v>0.9457142857142857</v>
      </c>
    </row>
    <row r="17" spans="1:14" ht="18" customHeight="1">
      <c r="A17" s="71" t="s">
        <v>37</v>
      </c>
      <c r="B17" s="72">
        <v>283.2</v>
      </c>
      <c r="C17" s="73">
        <v>380</v>
      </c>
      <c r="D17" s="73">
        <v>380</v>
      </c>
      <c r="E17" s="74" t="s">
        <v>1</v>
      </c>
      <c r="F17" s="78"/>
      <c r="G17" s="82">
        <v>295</v>
      </c>
      <c r="H17" s="75">
        <f t="shared" si="0"/>
        <v>-85</v>
      </c>
      <c r="I17" s="80">
        <f t="shared" si="3"/>
        <v>0</v>
      </c>
      <c r="J17" s="81">
        <f t="shared" si="4"/>
        <v>1.0416666666666667</v>
      </c>
      <c r="K17" s="49"/>
      <c r="L17" s="57">
        <v>386.1</v>
      </c>
      <c r="M17" s="19" t="e">
        <f t="shared" si="1"/>
        <v>#DIV/0!</v>
      </c>
      <c r="N17" s="19">
        <f t="shared" si="2"/>
        <v>1.308813559322034</v>
      </c>
    </row>
    <row r="18" spans="1:14" ht="18" customHeight="1">
      <c r="A18" s="71" t="s">
        <v>38</v>
      </c>
      <c r="B18" s="77">
        <v>12535.1</v>
      </c>
      <c r="C18" s="73">
        <v>8930</v>
      </c>
      <c r="D18" s="82">
        <v>8930</v>
      </c>
      <c r="E18" s="74" t="s">
        <v>1</v>
      </c>
      <c r="F18" s="78"/>
      <c r="G18" s="82">
        <v>9831.5</v>
      </c>
      <c r="H18" s="79">
        <f t="shared" si="0"/>
        <v>901.5</v>
      </c>
      <c r="I18" s="80">
        <f t="shared" si="3"/>
        <v>0</v>
      </c>
      <c r="J18" s="81">
        <f t="shared" si="4"/>
        <v>0.7843176360778933</v>
      </c>
      <c r="K18" s="49"/>
      <c r="L18" s="57">
        <v>8650.6</v>
      </c>
      <c r="M18" s="19" t="e">
        <f t="shared" si="1"/>
        <v>#DIV/0!</v>
      </c>
      <c r="N18" s="19">
        <f t="shared" si="2"/>
        <v>0.8798860804556782</v>
      </c>
    </row>
    <row r="19" spans="1:14" ht="16.5" customHeight="1">
      <c r="A19" s="71" t="s">
        <v>39</v>
      </c>
      <c r="B19" s="72"/>
      <c r="C19" s="73"/>
      <c r="D19" s="82"/>
      <c r="E19" s="74" t="s">
        <v>1</v>
      </c>
      <c r="F19" s="78"/>
      <c r="G19" s="82"/>
      <c r="H19" s="79">
        <f t="shared" si="0"/>
        <v>0</v>
      </c>
      <c r="I19" s="80" t="e">
        <f t="shared" si="3"/>
        <v>#DIV/0!</v>
      </c>
      <c r="J19" s="81"/>
      <c r="K19" s="49"/>
      <c r="L19" s="57"/>
      <c r="M19" s="19" t="e">
        <f t="shared" si="1"/>
        <v>#DIV/0!</v>
      </c>
      <c r="N19" s="19" t="e">
        <f t="shared" si="2"/>
        <v>#DIV/0!</v>
      </c>
    </row>
    <row r="20" spans="1:14" ht="45" customHeight="1">
      <c r="A20" s="71" t="s">
        <v>40</v>
      </c>
      <c r="B20" s="72">
        <v>10668.1</v>
      </c>
      <c r="C20" s="73">
        <v>7890</v>
      </c>
      <c r="D20" s="82">
        <v>7890</v>
      </c>
      <c r="E20" s="74" t="s">
        <v>1</v>
      </c>
      <c r="F20" s="78"/>
      <c r="G20" s="82">
        <v>8877.8</v>
      </c>
      <c r="H20" s="79">
        <f t="shared" si="0"/>
        <v>987.7999999999993</v>
      </c>
      <c r="I20" s="80">
        <f t="shared" si="3"/>
        <v>0</v>
      </c>
      <c r="J20" s="81">
        <f t="shared" si="4"/>
        <v>0.8321819255537536</v>
      </c>
      <c r="K20" s="49"/>
      <c r="L20" s="57">
        <v>7595</v>
      </c>
      <c r="M20" s="19" t="e">
        <f t="shared" si="1"/>
        <v>#DIV/0!</v>
      </c>
      <c r="N20" s="19">
        <f t="shared" si="2"/>
        <v>0.8555047421658519</v>
      </c>
    </row>
    <row r="21" spans="1:14" ht="26.25" customHeight="1">
      <c r="A21" s="83" t="s">
        <v>41</v>
      </c>
      <c r="B21" s="72">
        <f>8174.9+84.9</f>
        <v>8259.8</v>
      </c>
      <c r="C21" s="73">
        <v>5880</v>
      </c>
      <c r="D21" s="82">
        <f>5800+80</f>
        <v>5880</v>
      </c>
      <c r="E21" s="74" t="s">
        <v>1</v>
      </c>
      <c r="F21" s="78"/>
      <c r="G21" s="82">
        <f>6787.8+80</f>
        <v>6867.8</v>
      </c>
      <c r="H21" s="79">
        <f t="shared" si="0"/>
        <v>987.8000000000002</v>
      </c>
      <c r="I21" s="80">
        <f t="shared" si="3"/>
        <v>0</v>
      </c>
      <c r="J21" s="81">
        <f t="shared" si="4"/>
        <v>0.8314729170197827</v>
      </c>
      <c r="K21" s="49"/>
      <c r="L21" s="57">
        <v>5780</v>
      </c>
      <c r="M21" s="19" t="e">
        <f t="shared" si="1"/>
        <v>#DIV/0!</v>
      </c>
      <c r="N21" s="19">
        <f t="shared" si="2"/>
        <v>0.8416086665307667</v>
      </c>
    </row>
    <row r="22" spans="1:14" ht="34.5" customHeight="1">
      <c r="A22" s="84" t="s">
        <v>42</v>
      </c>
      <c r="B22" s="85">
        <f>910.6</f>
        <v>910.6</v>
      </c>
      <c r="C22" s="73">
        <v>70</v>
      </c>
      <c r="D22" s="82">
        <v>30</v>
      </c>
      <c r="E22" s="74" t="s">
        <v>1</v>
      </c>
      <c r="F22" s="78"/>
      <c r="G22" s="82">
        <v>16.1</v>
      </c>
      <c r="H22" s="79">
        <f t="shared" si="0"/>
        <v>-13.899999999999999</v>
      </c>
      <c r="I22" s="80">
        <f t="shared" si="3"/>
        <v>0</v>
      </c>
      <c r="J22" s="81">
        <f t="shared" si="4"/>
        <v>0.017680650120799474</v>
      </c>
      <c r="K22" s="49"/>
      <c r="L22" s="57">
        <v>25</v>
      </c>
      <c r="M22" s="19" t="e">
        <f t="shared" si="1"/>
        <v>#DIV/0!</v>
      </c>
      <c r="N22" s="19">
        <f t="shared" si="2"/>
        <v>1.5527950310559004</v>
      </c>
    </row>
    <row r="23" spans="1:14" s="22" customFormat="1" ht="18.75" customHeight="1">
      <c r="A23" s="86" t="s">
        <v>12</v>
      </c>
      <c r="B23" s="87"/>
      <c r="C23" s="88"/>
      <c r="D23" s="88"/>
      <c r="E23" s="88"/>
      <c r="F23" s="88"/>
      <c r="G23" s="88"/>
      <c r="H23" s="89">
        <f t="shared" si="0"/>
        <v>0</v>
      </c>
      <c r="I23" s="90"/>
      <c r="J23" s="90"/>
      <c r="K23" s="20"/>
      <c r="L23" s="20"/>
      <c r="M23" s="21" t="e">
        <f t="shared" si="1"/>
        <v>#DIV/0!</v>
      </c>
      <c r="N23" s="21" t="e">
        <f t="shared" si="2"/>
        <v>#DIV/0!</v>
      </c>
    </row>
    <row r="24" spans="1:14" s="51" customFormat="1" ht="23.25" customHeight="1">
      <c r="A24" s="91" t="s">
        <v>13</v>
      </c>
      <c r="B24" s="92"/>
      <c r="C24" s="78"/>
      <c r="D24" s="78"/>
      <c r="E24" s="93" t="s">
        <v>1</v>
      </c>
      <c r="F24" s="78"/>
      <c r="G24" s="78"/>
      <c r="H24" s="94">
        <v>0</v>
      </c>
      <c r="I24" s="95" t="e">
        <f>F24/B24</f>
        <v>#DIV/0!</v>
      </c>
      <c r="J24" s="95"/>
      <c r="K24" s="49"/>
      <c r="L24" s="49"/>
      <c r="M24" s="50" t="e">
        <f t="shared" si="1"/>
        <v>#DIV/0!</v>
      </c>
      <c r="N24" s="50" t="e">
        <f t="shared" si="2"/>
        <v>#DIV/0!</v>
      </c>
    </row>
    <row r="25" spans="1:14" ht="34.5" customHeight="1">
      <c r="A25" s="71" t="s">
        <v>14</v>
      </c>
      <c r="B25" s="77"/>
      <c r="C25" s="77"/>
      <c r="D25" s="77"/>
      <c r="E25" s="74" t="s">
        <v>1</v>
      </c>
      <c r="F25" s="78"/>
      <c r="G25" s="78"/>
      <c r="H25" s="75">
        <f t="shared" si="0"/>
        <v>0</v>
      </c>
      <c r="I25" s="80" t="e">
        <f>F25/B25</f>
        <v>#DIV/0!</v>
      </c>
      <c r="J25" s="81"/>
      <c r="K25" s="49"/>
      <c r="L25" s="49"/>
      <c r="M25" s="19" t="e">
        <f>K25/F25</f>
        <v>#DIV/0!</v>
      </c>
      <c r="N25" s="19" t="e">
        <f>L25/G25</f>
        <v>#DIV/0!</v>
      </c>
    </row>
    <row r="26" spans="1:14" ht="37.5" customHeight="1">
      <c r="A26" s="71" t="s">
        <v>15</v>
      </c>
      <c r="B26" s="77"/>
      <c r="C26" s="77"/>
      <c r="D26" s="77"/>
      <c r="E26" s="74" t="s">
        <v>1</v>
      </c>
      <c r="F26" s="78"/>
      <c r="G26" s="78"/>
      <c r="H26" s="75">
        <f>G26-D26</f>
        <v>0</v>
      </c>
      <c r="I26" s="80" t="e">
        <f>F26/B26</f>
        <v>#DIV/0!</v>
      </c>
      <c r="J26" s="81"/>
      <c r="K26" s="49"/>
      <c r="L26" s="49"/>
      <c r="M26" s="19" t="e">
        <f t="shared" si="1"/>
        <v>#DIV/0!</v>
      </c>
      <c r="N26" s="19" t="e">
        <f t="shared" si="2"/>
        <v>#DIV/0!</v>
      </c>
    </row>
    <row r="27" spans="1:14" ht="48.75" customHeight="1">
      <c r="A27" s="71" t="s">
        <v>53</v>
      </c>
      <c r="B27" s="96"/>
      <c r="C27" s="96"/>
      <c r="D27" s="96"/>
      <c r="E27" s="154" t="s">
        <v>1</v>
      </c>
      <c r="F27" s="96"/>
      <c r="G27" s="96"/>
      <c r="H27" s="96">
        <f>H25+H30</f>
        <v>0</v>
      </c>
      <c r="I27" s="80" t="e">
        <f>F27/B27</f>
        <v>#DIV/0!</v>
      </c>
      <c r="J27" s="81"/>
      <c r="K27" s="44"/>
      <c r="L27" s="44"/>
      <c r="M27" s="19" t="e">
        <f t="shared" si="1"/>
        <v>#DIV/0!</v>
      </c>
      <c r="N27" s="19" t="e">
        <f t="shared" si="2"/>
        <v>#DIV/0!</v>
      </c>
    </row>
    <row r="28" spans="1:17" s="22" customFormat="1" ht="36" customHeight="1">
      <c r="A28" s="66" t="s">
        <v>162</v>
      </c>
      <c r="B28" s="67">
        <f aca="true" t="shared" si="5" ref="B28:G28">B30+B31+B32+B33+B34+B35+B36+B37+B38+B39+B40</f>
        <v>123037.25</v>
      </c>
      <c r="C28" s="67">
        <f t="shared" si="5"/>
        <v>52810</v>
      </c>
      <c r="D28" s="67">
        <f t="shared" si="5"/>
        <v>131067.8</v>
      </c>
      <c r="E28" s="153" t="s">
        <v>1</v>
      </c>
      <c r="F28" s="67">
        <f t="shared" si="5"/>
        <v>0</v>
      </c>
      <c r="G28" s="67">
        <f t="shared" si="5"/>
        <v>131067.8</v>
      </c>
      <c r="H28" s="69">
        <f>G28-D28</f>
        <v>0</v>
      </c>
      <c r="I28" s="70">
        <f>F28/B28</f>
        <v>0</v>
      </c>
      <c r="J28" s="70">
        <f>G28/B28</f>
        <v>1.065269257887347</v>
      </c>
      <c r="K28" s="15">
        <f>K30+K31+K32+K33+K34</f>
        <v>0</v>
      </c>
      <c r="L28" s="15">
        <f>L30+L31+L32+L33+L34</f>
        <v>35745.8</v>
      </c>
      <c r="M28" s="16" t="e">
        <f aca="true" t="shared" si="6" ref="M28:M80">K28/F28</f>
        <v>#DIV/0!</v>
      </c>
      <c r="N28" s="16">
        <f aca="true" t="shared" si="7" ref="N28:N80">L28/G28</f>
        <v>0.2727275501686913</v>
      </c>
      <c r="P28" s="52"/>
      <c r="Q28" s="52"/>
    </row>
    <row r="29" spans="1:14" ht="18.75" customHeight="1">
      <c r="A29" s="83" t="s">
        <v>2</v>
      </c>
      <c r="B29" s="97"/>
      <c r="C29" s="98"/>
      <c r="D29" s="98"/>
      <c r="E29" s="98"/>
      <c r="F29" s="73"/>
      <c r="G29" s="73"/>
      <c r="H29" s="75">
        <f aca="true" t="shared" si="8" ref="H29:H48">G29-D29</f>
        <v>0</v>
      </c>
      <c r="I29" s="76"/>
      <c r="J29" s="76"/>
      <c r="K29" s="18"/>
      <c r="L29" s="18"/>
      <c r="M29" s="19" t="e">
        <f t="shared" si="6"/>
        <v>#DIV/0!</v>
      </c>
      <c r="N29" s="19" t="e">
        <f t="shared" si="7"/>
        <v>#DIV/0!</v>
      </c>
    </row>
    <row r="30" spans="1:14" s="5" customFormat="1" ht="33" customHeight="1">
      <c r="A30" s="84" t="s">
        <v>54</v>
      </c>
      <c r="B30" s="85">
        <v>33398.6</v>
      </c>
      <c r="C30" s="82">
        <f>31226.8+3809.9</f>
        <v>35036.7</v>
      </c>
      <c r="D30" s="82">
        <v>35036.7</v>
      </c>
      <c r="E30" s="142" t="s">
        <v>1</v>
      </c>
      <c r="F30" s="82"/>
      <c r="G30" s="82">
        <v>35036.7</v>
      </c>
      <c r="H30" s="79">
        <f t="shared" si="8"/>
        <v>0</v>
      </c>
      <c r="I30" s="80">
        <f>F30/B30</f>
        <v>0</v>
      </c>
      <c r="J30" s="80">
        <f>G30/B30</f>
        <v>1.0490469660404926</v>
      </c>
      <c r="K30" s="162"/>
      <c r="L30" s="162">
        <f>31983.8+3762</f>
        <v>35745.8</v>
      </c>
      <c r="M30" s="163" t="e">
        <f t="shared" si="6"/>
        <v>#DIV/0!</v>
      </c>
      <c r="N30" s="163">
        <f t="shared" si="7"/>
        <v>1.0202387781954352</v>
      </c>
    </row>
    <row r="31" spans="1:14" s="5" customFormat="1" ht="17.25" customHeight="1">
      <c r="A31" s="84" t="s">
        <v>43</v>
      </c>
      <c r="B31" s="85"/>
      <c r="C31" s="82"/>
      <c r="D31" s="82"/>
      <c r="E31" s="142" t="s">
        <v>1</v>
      </c>
      <c r="F31" s="82"/>
      <c r="G31" s="82"/>
      <c r="H31" s="79"/>
      <c r="I31" s="80" t="e">
        <f>F31/B31</f>
        <v>#DIV/0!</v>
      </c>
      <c r="J31" s="80"/>
      <c r="K31" s="162"/>
      <c r="L31" s="162"/>
      <c r="M31" s="163" t="e">
        <f t="shared" si="6"/>
        <v>#DIV/0!</v>
      </c>
      <c r="N31" s="163" t="e">
        <f t="shared" si="7"/>
        <v>#DIV/0!</v>
      </c>
    </row>
    <row r="32" spans="1:14" s="5" customFormat="1" ht="17.25" customHeight="1">
      <c r="A32" s="84" t="s">
        <v>44</v>
      </c>
      <c r="B32" s="85">
        <v>15085.4</v>
      </c>
      <c r="C32" s="82">
        <v>17773.3</v>
      </c>
      <c r="D32" s="82">
        <v>17996.5</v>
      </c>
      <c r="E32" s="142" t="s">
        <v>1</v>
      </c>
      <c r="F32" s="82"/>
      <c r="G32" s="82">
        <v>17996.5</v>
      </c>
      <c r="H32" s="79">
        <f t="shared" si="8"/>
        <v>0</v>
      </c>
      <c r="I32" s="80">
        <f>F32/B32</f>
        <v>0</v>
      </c>
      <c r="J32" s="80">
        <f>G32/B32</f>
        <v>1.192974664244899</v>
      </c>
      <c r="K32" s="162"/>
      <c r="L32" s="162">
        <v>0</v>
      </c>
      <c r="M32" s="163" t="e">
        <f t="shared" si="6"/>
        <v>#DIV/0!</v>
      </c>
      <c r="N32" s="163">
        <f t="shared" si="7"/>
        <v>0</v>
      </c>
    </row>
    <row r="33" spans="1:14" ht="31.5" customHeight="1">
      <c r="A33" s="71" t="s">
        <v>45</v>
      </c>
      <c r="B33" s="77"/>
      <c r="C33" s="78"/>
      <c r="D33" s="78"/>
      <c r="E33" s="74" t="s">
        <v>1</v>
      </c>
      <c r="F33" s="78"/>
      <c r="G33" s="78"/>
      <c r="H33" s="75">
        <f t="shared" si="8"/>
        <v>0</v>
      </c>
      <c r="I33" s="80" t="e">
        <f>F33/B33</f>
        <v>#DIV/0!</v>
      </c>
      <c r="J33" s="81"/>
      <c r="K33" s="49"/>
      <c r="L33" s="49"/>
      <c r="M33" s="19" t="e">
        <f t="shared" si="6"/>
        <v>#DIV/0!</v>
      </c>
      <c r="N33" s="19" t="e">
        <f t="shared" si="7"/>
        <v>#DIV/0!</v>
      </c>
    </row>
    <row r="34" spans="1:14" ht="33.75" customHeight="1">
      <c r="A34" s="71" t="s">
        <v>46</v>
      </c>
      <c r="B34" s="77"/>
      <c r="C34" s="78"/>
      <c r="D34" s="78"/>
      <c r="E34" s="74" t="s">
        <v>1</v>
      </c>
      <c r="F34" s="78"/>
      <c r="G34" s="78"/>
      <c r="H34" s="75">
        <f t="shared" si="8"/>
        <v>0</v>
      </c>
      <c r="I34" s="80" t="e">
        <f>F34/B34</f>
        <v>#DIV/0!</v>
      </c>
      <c r="J34" s="81"/>
      <c r="K34" s="49"/>
      <c r="L34" s="49"/>
      <c r="M34" s="19" t="e">
        <f t="shared" si="6"/>
        <v>#DIV/0!</v>
      </c>
      <c r="N34" s="19" t="e">
        <f t="shared" si="7"/>
        <v>#DIV/0!</v>
      </c>
    </row>
    <row r="35" spans="1:14" ht="33.75" customHeight="1">
      <c r="A35" s="71" t="str">
        <f>#REF!</f>
        <v>субсидии </v>
      </c>
      <c r="B35" s="85">
        <v>11778.15</v>
      </c>
      <c r="C35" s="82"/>
      <c r="D35" s="82">
        <v>14246.9</v>
      </c>
      <c r="E35" s="142" t="s">
        <v>1</v>
      </c>
      <c r="F35" s="82"/>
      <c r="G35" s="82">
        <v>14246.9</v>
      </c>
      <c r="H35" s="79">
        <f t="shared" si="8"/>
        <v>0</v>
      </c>
      <c r="I35" s="141"/>
      <c r="J35" s="81">
        <f>G35/B35</f>
        <v>1.2096042247721417</v>
      </c>
      <c r="K35" s="49"/>
      <c r="L35" s="49"/>
      <c r="M35" s="19"/>
      <c r="N35" s="19"/>
    </row>
    <row r="36" spans="1:14" ht="33.75" customHeight="1">
      <c r="A36" s="71" t="str">
        <f>#REF!</f>
        <v>субвенции</v>
      </c>
      <c r="B36" s="85">
        <v>47344.5</v>
      </c>
      <c r="C36" s="82"/>
      <c r="D36" s="82">
        <v>47334.5</v>
      </c>
      <c r="E36" s="142" t="s">
        <v>1</v>
      </c>
      <c r="F36" s="82"/>
      <c r="G36" s="82">
        <v>47334.5</v>
      </c>
      <c r="H36" s="79">
        <f t="shared" si="8"/>
        <v>0</v>
      </c>
      <c r="I36" s="141"/>
      <c r="J36" s="81">
        <f>G36/B36</f>
        <v>0.999788782223912</v>
      </c>
      <c r="K36" s="49"/>
      <c r="L36" s="49"/>
      <c r="M36" s="19"/>
      <c r="N36" s="19"/>
    </row>
    <row r="37" spans="1:14" ht="33.75" customHeight="1">
      <c r="A37" s="71" t="str">
        <f>#REF!</f>
        <v>иные межбюджетные трансферты</v>
      </c>
      <c r="B37" s="85">
        <v>15758.1</v>
      </c>
      <c r="C37" s="82"/>
      <c r="D37" s="82">
        <v>14909.1</v>
      </c>
      <c r="E37" s="142" t="s">
        <v>1</v>
      </c>
      <c r="F37" s="82"/>
      <c r="G37" s="82">
        <v>14909.1</v>
      </c>
      <c r="H37" s="79">
        <f t="shared" si="8"/>
        <v>0</v>
      </c>
      <c r="I37" s="141"/>
      <c r="J37" s="81">
        <f>G37/B37</f>
        <v>0.9461229462942867</v>
      </c>
      <c r="K37" s="49"/>
      <c r="L37" s="49"/>
      <c r="M37" s="19"/>
      <c r="N37" s="19"/>
    </row>
    <row r="38" spans="1:14" ht="33.75" customHeight="1">
      <c r="A38" s="71" t="str">
        <f>#REF!</f>
        <v>Прочие безвозмездные поступления</v>
      </c>
      <c r="B38" s="85">
        <v>1678.3</v>
      </c>
      <c r="C38" s="82"/>
      <c r="D38" s="82">
        <v>4230.5</v>
      </c>
      <c r="E38" s="142" t="s">
        <v>1</v>
      </c>
      <c r="F38" s="82"/>
      <c r="G38" s="82">
        <v>4230.5</v>
      </c>
      <c r="H38" s="79">
        <f t="shared" si="8"/>
        <v>0</v>
      </c>
      <c r="I38" s="141"/>
      <c r="J38" s="81">
        <f>G38/B38</f>
        <v>2.5207054757790623</v>
      </c>
      <c r="K38" s="49"/>
      <c r="L38" s="49"/>
      <c r="M38" s="19"/>
      <c r="N38" s="19"/>
    </row>
    <row r="39" spans="1:14" ht="33.75" customHeight="1">
      <c r="A39" s="71" t="str">
        <f>#REF!</f>
        <v>Доходы от возврата остатков субсидий и субвенций прошлых лет</v>
      </c>
      <c r="B39" s="85">
        <v>980</v>
      </c>
      <c r="C39" s="82"/>
      <c r="D39" s="82">
        <v>200.4</v>
      </c>
      <c r="E39" s="142" t="s">
        <v>1</v>
      </c>
      <c r="F39" s="82"/>
      <c r="G39" s="82">
        <v>200.4</v>
      </c>
      <c r="H39" s="79">
        <f t="shared" si="8"/>
        <v>0</v>
      </c>
      <c r="I39" s="141"/>
      <c r="J39" s="81">
        <f>G39/B39</f>
        <v>0.20448979591836736</v>
      </c>
      <c r="K39" s="49"/>
      <c r="L39" s="49"/>
      <c r="M39" s="19"/>
      <c r="N39" s="19"/>
    </row>
    <row r="40" spans="1:14" ht="33.75" customHeight="1">
      <c r="A40" s="71" t="str">
        <f>#REF!</f>
        <v>Возврат остатков субсидий и субвенций прошлых лет</v>
      </c>
      <c r="B40" s="85">
        <v>-2985.8</v>
      </c>
      <c r="C40" s="82"/>
      <c r="D40" s="82">
        <v>-2886.8</v>
      </c>
      <c r="E40" s="142" t="s">
        <v>1</v>
      </c>
      <c r="F40" s="82"/>
      <c r="G40" s="82">
        <v>-2886.8</v>
      </c>
      <c r="H40" s="79">
        <f t="shared" si="8"/>
        <v>0</v>
      </c>
      <c r="I40" s="141"/>
      <c r="J40" s="81">
        <f>G40/B40</f>
        <v>0.9668430571371157</v>
      </c>
      <c r="K40" s="49"/>
      <c r="L40" s="49"/>
      <c r="M40" s="19"/>
      <c r="N40" s="19"/>
    </row>
    <row r="41" spans="1:14" s="150" customFormat="1" ht="43.5" customHeight="1">
      <c r="A41" s="143" t="s">
        <v>154</v>
      </c>
      <c r="B41" s="114">
        <f>B42+B47</f>
        <v>146519.81</v>
      </c>
      <c r="C41" s="114">
        <f>C42+C47</f>
        <v>74769.79999999999</v>
      </c>
      <c r="D41" s="114">
        <f>D42+D47</f>
        <v>157139.278</v>
      </c>
      <c r="E41" s="145">
        <f>E42+E47</f>
        <v>2122.83</v>
      </c>
      <c r="F41" s="144"/>
      <c r="G41" s="144">
        <f>G42+G47</f>
        <v>155016.44799999997</v>
      </c>
      <c r="H41" s="146">
        <f>G41-D41</f>
        <v>-2122.8300000000163</v>
      </c>
      <c r="I41" s="147"/>
      <c r="J41" s="147">
        <f>H41/B41</f>
        <v>-0.014488348026113441</v>
      </c>
      <c r="K41" s="148"/>
      <c r="L41" s="148"/>
      <c r="M41" s="149"/>
      <c r="N41" s="149"/>
    </row>
    <row r="42" spans="1:14" s="150" customFormat="1" ht="52.5" customHeight="1">
      <c r="A42" s="165" t="s">
        <v>155</v>
      </c>
      <c r="B42" s="151">
        <f>B43+B44+B45+B46</f>
        <v>72087.34</v>
      </c>
      <c r="C42" s="151">
        <f aca="true" t="shared" si="9" ref="C42:H42">C43+C44+C45+C46</f>
        <v>0</v>
      </c>
      <c r="D42" s="151">
        <f t="shared" si="9"/>
        <v>76490.5</v>
      </c>
      <c r="E42" s="151">
        <f t="shared" si="9"/>
        <v>0</v>
      </c>
      <c r="F42" s="151">
        <f t="shared" si="9"/>
        <v>0</v>
      </c>
      <c r="G42" s="155">
        <f t="shared" si="9"/>
        <v>76490.5</v>
      </c>
      <c r="H42" s="155">
        <f t="shared" si="9"/>
        <v>0</v>
      </c>
      <c r="I42" s="156"/>
      <c r="J42" s="157">
        <f>G42/B42</f>
        <v>1.0610809054682835</v>
      </c>
      <c r="K42" s="148"/>
      <c r="L42" s="148"/>
      <c r="M42" s="149"/>
      <c r="N42" s="149"/>
    </row>
    <row r="43" spans="1:14" s="22" customFormat="1" ht="33" customHeight="1">
      <c r="A43" s="167" t="s">
        <v>156</v>
      </c>
      <c r="B43" s="164">
        <v>46435.5</v>
      </c>
      <c r="C43" s="82"/>
      <c r="D43" s="82">
        <v>47334.5</v>
      </c>
      <c r="E43" s="142">
        <v>0</v>
      </c>
      <c r="F43" s="82"/>
      <c r="G43" s="82">
        <v>47334.5</v>
      </c>
      <c r="H43" s="75">
        <f>G43-D43</f>
        <v>0</v>
      </c>
      <c r="I43" s="141"/>
      <c r="J43" s="92">
        <f>G43/B43</f>
        <v>1.019360187787361</v>
      </c>
      <c r="K43" s="78"/>
      <c r="L43" s="78"/>
      <c r="M43" s="76"/>
      <c r="N43" s="76"/>
    </row>
    <row r="44" spans="1:14" s="22" customFormat="1" ht="21" customHeight="1">
      <c r="A44" s="167" t="s">
        <v>157</v>
      </c>
      <c r="B44" s="164">
        <v>10181.24</v>
      </c>
      <c r="C44" s="82"/>
      <c r="D44" s="82">
        <v>14246.9</v>
      </c>
      <c r="E44" s="142">
        <v>0</v>
      </c>
      <c r="F44" s="82"/>
      <c r="G44" s="82">
        <v>14246.9</v>
      </c>
      <c r="H44" s="75">
        <f>G44-D44</f>
        <v>0</v>
      </c>
      <c r="I44" s="141"/>
      <c r="J44" s="92">
        <f>G44/B44</f>
        <v>1.399328569015169</v>
      </c>
      <c r="K44" s="78"/>
      <c r="L44" s="78"/>
      <c r="M44" s="76"/>
      <c r="N44" s="76"/>
    </row>
    <row r="45" spans="1:14" s="22" customFormat="1" ht="21" customHeight="1">
      <c r="A45" s="167" t="s">
        <v>158</v>
      </c>
      <c r="B45" s="164">
        <v>15470.6</v>
      </c>
      <c r="C45" s="82"/>
      <c r="D45" s="82">
        <v>14909.1</v>
      </c>
      <c r="E45" s="142">
        <v>0</v>
      </c>
      <c r="F45" s="82"/>
      <c r="G45" s="82">
        <v>14909.1</v>
      </c>
      <c r="H45" s="75">
        <f>G45-D45</f>
        <v>0</v>
      </c>
      <c r="I45" s="141"/>
      <c r="J45" s="92">
        <f>G45/B45</f>
        <v>0.96370535079441</v>
      </c>
      <c r="K45" s="78"/>
      <c r="L45" s="78"/>
      <c r="M45" s="76"/>
      <c r="N45" s="76"/>
    </row>
    <row r="46" spans="1:14" s="22" customFormat="1" ht="34.5" customHeight="1">
      <c r="A46" s="167" t="s">
        <v>159</v>
      </c>
      <c r="B46" s="164">
        <v>0</v>
      </c>
      <c r="C46" s="82"/>
      <c r="D46" s="82">
        <v>0</v>
      </c>
      <c r="E46" s="142">
        <v>0</v>
      </c>
      <c r="F46" s="82"/>
      <c r="G46" s="82">
        <v>0</v>
      </c>
      <c r="H46" s="75">
        <f>G46-D46</f>
        <v>0</v>
      </c>
      <c r="I46" s="141"/>
      <c r="J46" s="152"/>
      <c r="K46" s="78"/>
      <c r="L46" s="78"/>
      <c r="M46" s="76"/>
      <c r="N46" s="76"/>
    </row>
    <row r="47" spans="1:23" s="22" customFormat="1" ht="83.25" customHeight="1">
      <c r="A47" s="166" t="s">
        <v>160</v>
      </c>
      <c r="B47" s="63">
        <f aca="true" t="shared" si="10" ref="B47:G47">B49+B64+B121+B135</f>
        <v>74432.47000000002</v>
      </c>
      <c r="C47" s="63">
        <f t="shared" si="10"/>
        <v>74769.79999999999</v>
      </c>
      <c r="D47" s="63">
        <f t="shared" si="10"/>
        <v>80648.778</v>
      </c>
      <c r="E47" s="63">
        <f t="shared" si="10"/>
        <v>2122.83</v>
      </c>
      <c r="F47" s="63">
        <f t="shared" si="10"/>
        <v>0</v>
      </c>
      <c r="G47" s="63">
        <f t="shared" si="10"/>
        <v>78525.94799999999</v>
      </c>
      <c r="H47" s="99">
        <f t="shared" si="8"/>
        <v>-2122.8300000000163</v>
      </c>
      <c r="I47" s="65">
        <f>F47/B47</f>
        <v>0</v>
      </c>
      <c r="J47" s="65">
        <f>G47/B47</f>
        <v>1.0549958640362194</v>
      </c>
      <c r="K47" s="11">
        <f>K49+K64+K121+K135</f>
        <v>0</v>
      </c>
      <c r="L47" s="11">
        <f>L49+L64+L121+L135</f>
        <v>84810.19</v>
      </c>
      <c r="M47" s="13" t="e">
        <f t="shared" si="6"/>
        <v>#DIV/0!</v>
      </c>
      <c r="N47" s="13">
        <f t="shared" si="7"/>
        <v>1.080027585276653</v>
      </c>
      <c r="P47" s="55">
        <v>34657.7</v>
      </c>
      <c r="Q47" s="55">
        <v>3630.7</v>
      </c>
      <c r="R47" s="55">
        <v>2909.1</v>
      </c>
      <c r="S47" s="55">
        <v>11047.4</v>
      </c>
      <c r="T47" s="55">
        <v>16461.8</v>
      </c>
      <c r="U47" s="55">
        <f>L47-P47-Q47-R47-S47-T47</f>
        <v>16103.490000000009</v>
      </c>
      <c r="V47" s="53"/>
      <c r="W47" s="53"/>
    </row>
    <row r="48" spans="1:14" ht="14.25" customHeight="1">
      <c r="A48" s="178" t="s">
        <v>2</v>
      </c>
      <c r="B48" s="100"/>
      <c r="C48" s="101"/>
      <c r="D48" s="101"/>
      <c r="E48" s="101"/>
      <c r="F48" s="101"/>
      <c r="G48" s="101"/>
      <c r="H48" s="99">
        <f t="shared" si="8"/>
        <v>0</v>
      </c>
      <c r="I48" s="102"/>
      <c r="J48" s="102" t="e">
        <f>G48/B48</f>
        <v>#DIV/0!</v>
      </c>
      <c r="K48" s="24"/>
      <c r="L48" s="24"/>
      <c r="M48" s="13" t="e">
        <f t="shared" si="6"/>
        <v>#DIV/0!</v>
      </c>
      <c r="N48" s="13" t="e">
        <f t="shared" si="7"/>
        <v>#DIV/0!</v>
      </c>
    </row>
    <row r="49" spans="1:14" s="22" customFormat="1" ht="30.75" customHeight="1">
      <c r="A49" s="66" t="s">
        <v>47</v>
      </c>
      <c r="B49" s="67">
        <f aca="true" t="shared" si="11" ref="B49:G49">B50+B51+B52+B53+B61</f>
        <v>60510.70100000001</v>
      </c>
      <c r="C49" s="67">
        <f t="shared" si="11"/>
        <v>59694.37</v>
      </c>
      <c r="D49" s="67">
        <f t="shared" si="11"/>
        <v>62611.988000000005</v>
      </c>
      <c r="E49" s="67">
        <f t="shared" si="11"/>
        <v>904.6800000000001</v>
      </c>
      <c r="F49" s="67">
        <f t="shared" si="11"/>
        <v>0</v>
      </c>
      <c r="G49" s="67">
        <f t="shared" si="11"/>
        <v>61707.308</v>
      </c>
      <c r="H49" s="67">
        <f>H50+H51+H54+H55+H56+H57+H66+H61+H58+H52</f>
        <v>-860.720000000003</v>
      </c>
      <c r="I49" s="70">
        <f aca="true" t="shared" si="12" ref="I49:I135">F49/B49</f>
        <v>0</v>
      </c>
      <c r="J49" s="70">
        <f>G49/B49</f>
        <v>1.0197751303525635</v>
      </c>
      <c r="K49" s="15">
        <f>K50+K51+K54+K55+K56+K57+K66+K61+K58+K52</f>
        <v>0</v>
      </c>
      <c r="L49" s="15">
        <f>L50+L51+L52+L53+L61</f>
        <v>63168.63999999999</v>
      </c>
      <c r="M49" s="16" t="e">
        <f t="shared" si="6"/>
        <v>#DIV/0!</v>
      </c>
      <c r="N49" s="16">
        <f t="shared" si="7"/>
        <v>1.023681668304182</v>
      </c>
    </row>
    <row r="50" spans="1:14" s="1" customFormat="1" ht="38.25" customHeight="1">
      <c r="A50" s="71" t="s">
        <v>146</v>
      </c>
      <c r="B50" s="73">
        <f>36343.12+4905.69+1784.78</f>
        <v>43033.590000000004</v>
      </c>
      <c r="C50" s="73">
        <f>37649.47+6313.34</f>
        <v>43962.81</v>
      </c>
      <c r="D50" s="78">
        <f>37011.39+6403.19</f>
        <v>43414.58</v>
      </c>
      <c r="E50" s="73">
        <f>170.14+1.5+276.41+80</f>
        <v>528.05</v>
      </c>
      <c r="F50" s="73"/>
      <c r="G50" s="73">
        <f>D50-E50</f>
        <v>42886.53</v>
      </c>
      <c r="H50" s="75">
        <f aca="true" t="shared" si="13" ref="H50:H80">G50-D50</f>
        <v>-528.0500000000029</v>
      </c>
      <c r="I50" s="103">
        <f t="shared" si="12"/>
        <v>0</v>
      </c>
      <c r="J50" s="103">
        <f>G50/B50</f>
        <v>0.9965826694914367</v>
      </c>
      <c r="K50" s="18"/>
      <c r="L50" s="18">
        <f>3148.8+19480.2+2405.5+8159+6572.4+3468.6</f>
        <v>43234.5</v>
      </c>
      <c r="M50" s="19" t="e">
        <f t="shared" si="6"/>
        <v>#DIV/0!</v>
      </c>
      <c r="N50" s="19">
        <f t="shared" si="7"/>
        <v>1.0081137364109432</v>
      </c>
    </row>
    <row r="51" spans="1:14" s="28" customFormat="1" ht="42" customHeight="1">
      <c r="A51" s="71" t="s">
        <v>147</v>
      </c>
      <c r="B51" s="72">
        <f>812.18+662.2+233.91</f>
        <v>1708.2900000000002</v>
      </c>
      <c r="C51" s="73">
        <f>1238.02+855.38</f>
        <v>2093.4</v>
      </c>
      <c r="D51" s="78">
        <f>1269.26+985.62</f>
        <v>2254.88</v>
      </c>
      <c r="E51" s="73">
        <f>111.87+85.29</f>
        <v>197.16000000000003</v>
      </c>
      <c r="F51" s="98"/>
      <c r="G51" s="73">
        <f>D51-E51</f>
        <v>2057.7200000000003</v>
      </c>
      <c r="H51" s="75">
        <f t="shared" si="13"/>
        <v>-197.15999999999985</v>
      </c>
      <c r="I51" s="103">
        <f t="shared" si="12"/>
        <v>0</v>
      </c>
      <c r="J51" s="103">
        <f>G51/B51</f>
        <v>1.2045495788185847</v>
      </c>
      <c r="K51" s="23"/>
      <c r="L51" s="23">
        <f>20.18+588.2+214+385.8+944.7+218</f>
        <v>2370.88</v>
      </c>
      <c r="M51" s="26" t="e">
        <f t="shared" si="6"/>
        <v>#DIV/0!</v>
      </c>
      <c r="N51" s="26">
        <f t="shared" si="7"/>
        <v>1.1521878584063914</v>
      </c>
    </row>
    <row r="52" spans="1:14" s="28" customFormat="1" ht="30" customHeight="1">
      <c r="A52" s="104" t="s">
        <v>129</v>
      </c>
      <c r="B52" s="72">
        <v>89.94</v>
      </c>
      <c r="C52" s="73">
        <v>49.47</v>
      </c>
      <c r="D52" s="78">
        <v>49.47</v>
      </c>
      <c r="E52" s="73">
        <v>42.46</v>
      </c>
      <c r="F52" s="98"/>
      <c r="G52" s="73">
        <f>D52-E52</f>
        <v>7.009999999999998</v>
      </c>
      <c r="H52" s="75">
        <f t="shared" si="13"/>
        <v>-42.46</v>
      </c>
      <c r="I52" s="103">
        <f t="shared" si="12"/>
        <v>0</v>
      </c>
      <c r="J52" s="103">
        <f>G52/B52</f>
        <v>0.07794084945519233</v>
      </c>
      <c r="K52" s="23"/>
      <c r="L52" s="23">
        <v>0</v>
      </c>
      <c r="M52" s="26" t="e">
        <f t="shared" si="6"/>
        <v>#DIV/0!</v>
      </c>
      <c r="N52" s="26">
        <f t="shared" si="7"/>
        <v>0</v>
      </c>
    </row>
    <row r="53" spans="1:14" s="28" customFormat="1" ht="45" customHeight="1">
      <c r="A53" s="71" t="s">
        <v>148</v>
      </c>
      <c r="B53" s="105">
        <f aca="true" t="shared" si="14" ref="B53:G53">B54+B55+B56+B57+B58+B60</f>
        <v>15402.101</v>
      </c>
      <c r="C53" s="105">
        <f t="shared" si="14"/>
        <v>13460.95</v>
      </c>
      <c r="D53" s="106">
        <f t="shared" si="14"/>
        <v>16315.098000000002</v>
      </c>
      <c r="E53" s="107">
        <f t="shared" si="14"/>
        <v>137.01</v>
      </c>
      <c r="F53" s="107">
        <f t="shared" si="14"/>
        <v>0</v>
      </c>
      <c r="G53" s="107">
        <f t="shared" si="14"/>
        <v>16178.088</v>
      </c>
      <c r="H53" s="75">
        <f t="shared" si="13"/>
        <v>-137.01000000000204</v>
      </c>
      <c r="I53" s="103">
        <f t="shared" si="12"/>
        <v>0</v>
      </c>
      <c r="J53" s="103">
        <f>G53/B53</f>
        <v>1.0503818927041186</v>
      </c>
      <c r="K53" s="47">
        <f>K54+K55+K56+K57+K58+K60</f>
        <v>0</v>
      </c>
      <c r="L53" s="47">
        <f>L54+L55+L56+L57+L58+L60</f>
        <v>16927.159999999996</v>
      </c>
      <c r="M53" s="26" t="e">
        <f t="shared" si="6"/>
        <v>#DIV/0!</v>
      </c>
      <c r="N53" s="26">
        <f t="shared" si="7"/>
        <v>1.0463016396004272</v>
      </c>
    </row>
    <row r="54" spans="1:14" s="27" customFormat="1" ht="15" customHeight="1">
      <c r="A54" s="83" t="s">
        <v>130</v>
      </c>
      <c r="B54" s="97">
        <f>998.68+191.46+66.2</f>
        <v>1256.34</v>
      </c>
      <c r="C54" s="98">
        <f>1046.53+183.6</f>
        <v>1230.1299999999999</v>
      </c>
      <c r="D54" s="108">
        <f>1040.6+194.69</f>
        <v>1235.29</v>
      </c>
      <c r="E54" s="98">
        <v>0</v>
      </c>
      <c r="F54" s="98"/>
      <c r="G54" s="98">
        <f>D54-E54</f>
        <v>1235.29</v>
      </c>
      <c r="H54" s="109">
        <f t="shared" si="13"/>
        <v>0</v>
      </c>
      <c r="I54" s="103">
        <f t="shared" si="12"/>
        <v>0</v>
      </c>
      <c r="J54" s="103">
        <f>G54/B54</f>
        <v>0.983244981454065</v>
      </c>
      <c r="K54" s="23"/>
      <c r="L54" s="23">
        <f>163+403.5+54.1+298.6+243.2+98</f>
        <v>1260.4</v>
      </c>
      <c r="M54" s="26" t="e">
        <f t="shared" si="6"/>
        <v>#DIV/0!</v>
      </c>
      <c r="N54" s="26">
        <f t="shared" si="7"/>
        <v>1.0203272106145116</v>
      </c>
    </row>
    <row r="55" spans="1:16" s="27" customFormat="1" ht="15" customHeight="1">
      <c r="A55" s="83" t="s">
        <v>131</v>
      </c>
      <c r="B55" s="97">
        <f>91.26+7.8+36.29</f>
        <v>135.35</v>
      </c>
      <c r="C55" s="98">
        <f>239.45+119.95</f>
        <v>359.4</v>
      </c>
      <c r="D55" s="108">
        <f>107.42+86.99</f>
        <v>194.41</v>
      </c>
      <c r="E55" s="98">
        <v>0</v>
      </c>
      <c r="F55" s="98"/>
      <c r="G55" s="98">
        <f aca="true" t="shared" si="15" ref="G55:G61">D55-E55</f>
        <v>194.41</v>
      </c>
      <c r="H55" s="109">
        <f t="shared" si="13"/>
        <v>0</v>
      </c>
      <c r="I55" s="103">
        <f t="shared" si="12"/>
        <v>0</v>
      </c>
      <c r="J55" s="103">
        <f>G55/B55</f>
        <v>1.4363502031769486</v>
      </c>
      <c r="K55" s="23"/>
      <c r="L55" s="23">
        <f>90+3+19+70+20</f>
        <v>202</v>
      </c>
      <c r="M55" s="26" t="e">
        <f t="shared" si="6"/>
        <v>#DIV/0!</v>
      </c>
      <c r="N55" s="26">
        <f t="shared" si="7"/>
        <v>1.0390412015842807</v>
      </c>
      <c r="P55" s="27">
        <v>20</v>
      </c>
    </row>
    <row r="56" spans="1:16" s="27" customFormat="1" ht="15" customHeight="1">
      <c r="A56" s="83" t="s">
        <v>132</v>
      </c>
      <c r="B56" s="97">
        <f>2337.26+3841.61+605.61</f>
        <v>6784.4800000000005</v>
      </c>
      <c r="C56" s="98">
        <f>2134.61+4594.7</f>
        <v>6729.3099999999995</v>
      </c>
      <c r="D56" s="108">
        <f>2250.8+4670.45</f>
        <v>6921.25</v>
      </c>
      <c r="E56" s="98">
        <v>0</v>
      </c>
      <c r="F56" s="98"/>
      <c r="G56" s="98">
        <f t="shared" si="15"/>
        <v>6921.25</v>
      </c>
      <c r="H56" s="109">
        <f t="shared" si="13"/>
        <v>0</v>
      </c>
      <c r="I56" s="103">
        <f t="shared" si="12"/>
        <v>0</v>
      </c>
      <c r="J56" s="103">
        <f>G56/B56</f>
        <v>1.0201592458080795</v>
      </c>
      <c r="K56" s="23"/>
      <c r="L56" s="23">
        <f>1337.3+705.1+4620+400</f>
        <v>7062.4</v>
      </c>
      <c r="M56" s="26" t="e">
        <f t="shared" si="6"/>
        <v>#DIV/0!</v>
      </c>
      <c r="N56" s="26">
        <f t="shared" si="7"/>
        <v>1.020393715008127</v>
      </c>
      <c r="P56" s="27">
        <v>400</v>
      </c>
    </row>
    <row r="57" spans="1:14" s="27" customFormat="1" ht="30.75" customHeight="1">
      <c r="A57" s="83" t="s">
        <v>133</v>
      </c>
      <c r="B57" s="97">
        <v>0</v>
      </c>
      <c r="C57" s="98">
        <v>0</v>
      </c>
      <c r="D57" s="108">
        <v>0</v>
      </c>
      <c r="E57" s="98">
        <v>0</v>
      </c>
      <c r="F57" s="98"/>
      <c r="G57" s="98">
        <f t="shared" si="15"/>
        <v>0</v>
      </c>
      <c r="H57" s="109">
        <f t="shared" si="13"/>
        <v>0</v>
      </c>
      <c r="I57" s="103" t="e">
        <f t="shared" si="12"/>
        <v>#DIV/0!</v>
      </c>
      <c r="J57" s="103"/>
      <c r="K57" s="23"/>
      <c r="L57" s="23">
        <v>0</v>
      </c>
      <c r="M57" s="26" t="e">
        <f t="shared" si="6"/>
        <v>#DIV/0!</v>
      </c>
      <c r="N57" s="26" t="e">
        <f t="shared" si="7"/>
        <v>#DIV/0!</v>
      </c>
    </row>
    <row r="58" spans="1:16" s="27" customFormat="1" ht="30.75" customHeight="1">
      <c r="A58" s="110" t="s">
        <v>134</v>
      </c>
      <c r="B58" s="97">
        <f>1874.62-53.25+613.33+1686.48</f>
        <v>4121.18</v>
      </c>
      <c r="C58" s="98">
        <f>1521.74+2105.42</f>
        <v>3627.16</v>
      </c>
      <c r="D58" s="108">
        <f>2111.9+2264.45</f>
        <v>4376.35</v>
      </c>
      <c r="E58" s="98">
        <v>93.05</v>
      </c>
      <c r="F58" s="98"/>
      <c r="G58" s="98">
        <f t="shared" si="15"/>
        <v>4283.3</v>
      </c>
      <c r="H58" s="109">
        <f t="shared" si="13"/>
        <v>-93.05000000000018</v>
      </c>
      <c r="I58" s="103">
        <f t="shared" si="12"/>
        <v>0</v>
      </c>
      <c r="J58" s="103">
        <f>G58/B58</f>
        <v>1.039338247783402</v>
      </c>
      <c r="K58" s="23"/>
      <c r="L58" s="23">
        <f>80+822+57.8+378.4+1886.1+24+1300</f>
        <v>4548.299999999999</v>
      </c>
      <c r="M58" s="26" t="e">
        <f t="shared" si="6"/>
        <v>#DIV/0!</v>
      </c>
      <c r="N58" s="26">
        <f t="shared" si="7"/>
        <v>1.061868185744636</v>
      </c>
      <c r="P58" s="27">
        <v>1300</v>
      </c>
    </row>
    <row r="59" spans="1:14" s="27" customFormat="1" ht="15" customHeight="1" hidden="1">
      <c r="A59" s="83" t="s">
        <v>55</v>
      </c>
      <c r="B59" s="97"/>
      <c r="C59" s="98"/>
      <c r="D59" s="108"/>
      <c r="E59" s="98"/>
      <c r="F59" s="98"/>
      <c r="G59" s="98">
        <f t="shared" si="15"/>
        <v>0</v>
      </c>
      <c r="H59" s="109">
        <f t="shared" si="13"/>
        <v>0</v>
      </c>
      <c r="I59" s="103" t="e">
        <f t="shared" si="12"/>
        <v>#DIV/0!</v>
      </c>
      <c r="J59" s="103"/>
      <c r="K59" s="23"/>
      <c r="L59" s="23"/>
      <c r="M59" s="26" t="e">
        <f t="shared" si="6"/>
        <v>#DIV/0!</v>
      </c>
      <c r="N59" s="26" t="e">
        <f t="shared" si="7"/>
        <v>#DIV/0!</v>
      </c>
    </row>
    <row r="60" spans="1:16" s="27" customFormat="1" ht="29.25" customHeight="1">
      <c r="A60" s="110" t="s">
        <v>135</v>
      </c>
      <c r="B60" s="159">
        <f>5384.88+1110.06+243.9-3634.089</f>
        <v>3104.751</v>
      </c>
      <c r="C60" s="160">
        <f>4780.1+677.48-3942.63</f>
        <v>1514.9499999999998</v>
      </c>
      <c r="D60" s="160">
        <f>5239.51+2543.03-4194.742</f>
        <v>3587.7980000000007</v>
      </c>
      <c r="E60" s="98">
        <v>43.96</v>
      </c>
      <c r="F60" s="98"/>
      <c r="G60" s="98">
        <f t="shared" si="15"/>
        <v>3543.8380000000006</v>
      </c>
      <c r="H60" s="109">
        <f t="shared" si="13"/>
        <v>-43.960000000000036</v>
      </c>
      <c r="I60" s="103">
        <f t="shared" si="12"/>
        <v>0</v>
      </c>
      <c r="J60" s="103">
        <f>G60/B60</f>
        <v>1.1414242237139147</v>
      </c>
      <c r="K60" s="23"/>
      <c r="L60" s="56">
        <f>4738.6+73.4+223.9+433.5+2500-4115.34</f>
        <v>3854.0599999999995</v>
      </c>
      <c r="M60" s="26" t="e">
        <f t="shared" si="6"/>
        <v>#DIV/0!</v>
      </c>
      <c r="N60" s="26">
        <f t="shared" si="7"/>
        <v>1.0875384258535516</v>
      </c>
      <c r="P60" s="27">
        <v>2500</v>
      </c>
    </row>
    <row r="61" spans="1:14" s="28" customFormat="1" ht="18" customHeight="1">
      <c r="A61" s="104" t="s">
        <v>149</v>
      </c>
      <c r="B61" s="72">
        <f>216.15+0.75+51.99+7.47+0.42</f>
        <v>276.78000000000003</v>
      </c>
      <c r="C61" s="73">
        <f>127.74</f>
        <v>127.74</v>
      </c>
      <c r="D61" s="78">
        <f>364.85+213.11</f>
        <v>577.96</v>
      </c>
      <c r="E61" s="73">
        <v>0</v>
      </c>
      <c r="F61" s="98"/>
      <c r="G61" s="98">
        <f t="shared" si="15"/>
        <v>577.96</v>
      </c>
      <c r="H61" s="75">
        <f t="shared" si="13"/>
        <v>0</v>
      </c>
      <c r="I61" s="103">
        <f t="shared" si="12"/>
        <v>0</v>
      </c>
      <c r="J61" s="103">
        <f>G61/B61</f>
        <v>2.0881566587181153</v>
      </c>
      <c r="K61" s="23"/>
      <c r="L61" s="23">
        <f>228.5+3+59.4+345.2</f>
        <v>636.0999999999999</v>
      </c>
      <c r="M61" s="26" t="e">
        <f t="shared" si="6"/>
        <v>#DIV/0!</v>
      </c>
      <c r="N61" s="26">
        <f t="shared" si="7"/>
        <v>1.1005951968994392</v>
      </c>
    </row>
    <row r="62" spans="1:14" ht="33" customHeight="1">
      <c r="A62" s="71" t="s">
        <v>56</v>
      </c>
      <c r="B62" s="76">
        <f>B49/B8</f>
        <v>0.40456077316946065</v>
      </c>
      <c r="C62" s="76">
        <f>C49/C8</f>
        <v>0.7904466113522547</v>
      </c>
      <c r="D62" s="76">
        <f>D49/D8</f>
        <v>0.4071593522073436</v>
      </c>
      <c r="E62" s="76"/>
      <c r="F62" s="76" t="e">
        <f>F49/F8</f>
        <v>#DIV/0!</v>
      </c>
      <c r="G62" s="76">
        <f>G49/G8</f>
        <v>0.4012763107240586</v>
      </c>
      <c r="H62" s="113">
        <f t="shared" si="13"/>
        <v>-0.005883041483285001</v>
      </c>
      <c r="I62" s="76" t="e">
        <f t="shared" si="12"/>
        <v>#DIV/0!</v>
      </c>
      <c r="J62" s="76">
        <f>G62/B62</f>
        <v>0.9918814114881418</v>
      </c>
      <c r="K62" s="19" t="e">
        <f>K49/K8</f>
        <v>#DIV/0!</v>
      </c>
      <c r="L62" s="19">
        <f>L49/L8</f>
        <v>1.0813862996345085</v>
      </c>
      <c r="M62" s="19" t="e">
        <f t="shared" si="6"/>
        <v>#DIV/0!</v>
      </c>
      <c r="N62" s="19">
        <f t="shared" si="7"/>
        <v>2.6948670298609625</v>
      </c>
    </row>
    <row r="63" spans="1:14" ht="18" customHeight="1">
      <c r="A63" s="71" t="s">
        <v>48</v>
      </c>
      <c r="B63" s="76">
        <f>B50/B8</f>
        <v>0.2877127872416743</v>
      </c>
      <c r="C63" s="76">
        <f>C50/C8</f>
        <v>0.5821362079878389</v>
      </c>
      <c r="D63" s="76">
        <f>D50/D8</f>
        <v>0.2823205720469041</v>
      </c>
      <c r="E63" s="76"/>
      <c r="F63" s="76" t="e">
        <f>F50/F8</f>
        <v>#DIV/0!</v>
      </c>
      <c r="G63" s="76">
        <f>G50/G8</f>
        <v>0.27888671692106</v>
      </c>
      <c r="H63" s="113">
        <f t="shared" si="13"/>
        <v>-0.0034338551258440986</v>
      </c>
      <c r="I63" s="76" t="e">
        <f t="shared" si="12"/>
        <v>#DIV/0!</v>
      </c>
      <c r="J63" s="76">
        <f>G63/B63</f>
        <v>0.969323329681553</v>
      </c>
      <c r="K63" s="19" t="e">
        <f>K50/K8</f>
        <v>#DIV/0!</v>
      </c>
      <c r="L63" s="19">
        <f>L50/L8</f>
        <v>0.740133014919241</v>
      </c>
      <c r="M63" s="19" t="e">
        <f t="shared" si="6"/>
        <v>#DIV/0!</v>
      </c>
      <c r="N63" s="19">
        <f t="shared" si="7"/>
        <v>2.653884068378698</v>
      </c>
    </row>
    <row r="64" spans="1:14" s="22" customFormat="1" ht="30" customHeight="1">
      <c r="A64" s="66" t="s">
        <v>49</v>
      </c>
      <c r="B64" s="67">
        <f aca="true" t="shared" si="16" ref="B64:G64">B65+B66+B67+B70+B71+B72+B68+B69</f>
        <v>7201.643</v>
      </c>
      <c r="C64" s="67">
        <f t="shared" si="16"/>
        <v>8853.25</v>
      </c>
      <c r="D64" s="67">
        <f t="shared" si="16"/>
        <v>11513.59</v>
      </c>
      <c r="E64" s="67">
        <f t="shared" si="16"/>
        <v>1218.1499999999999</v>
      </c>
      <c r="F64" s="67">
        <f t="shared" si="16"/>
        <v>0</v>
      </c>
      <c r="G64" s="67">
        <f t="shared" si="16"/>
        <v>10295.44</v>
      </c>
      <c r="H64" s="69">
        <f t="shared" si="13"/>
        <v>-1218.1499999999996</v>
      </c>
      <c r="I64" s="70">
        <f t="shared" si="12"/>
        <v>0</v>
      </c>
      <c r="J64" s="70">
        <f>G64/B64</f>
        <v>1.4295959963580533</v>
      </c>
      <c r="K64" s="15">
        <f>K65+K66+K67+K70+K71+K72</f>
        <v>0</v>
      </c>
      <c r="L64" s="15">
        <f>SUM(L65:L72)</f>
        <v>14399.84</v>
      </c>
      <c r="M64" s="16" t="e">
        <f t="shared" si="6"/>
        <v>#DIV/0!</v>
      </c>
      <c r="N64" s="16">
        <f t="shared" si="7"/>
        <v>1.3986619318844071</v>
      </c>
    </row>
    <row r="65" spans="1:14" s="28" customFormat="1" ht="30" customHeight="1">
      <c r="A65" s="71" t="s">
        <v>136</v>
      </c>
      <c r="B65" s="72">
        <f>1170</f>
        <v>1170</v>
      </c>
      <c r="C65" s="73">
        <v>1225</v>
      </c>
      <c r="D65" s="78">
        <v>1175</v>
      </c>
      <c r="E65" s="73">
        <v>0</v>
      </c>
      <c r="F65" s="98"/>
      <c r="G65" s="73">
        <f>D65-E65</f>
        <v>1175</v>
      </c>
      <c r="H65" s="75">
        <f t="shared" si="13"/>
        <v>0</v>
      </c>
      <c r="I65" s="103">
        <f t="shared" si="12"/>
        <v>0</v>
      </c>
      <c r="J65" s="103">
        <f>G65/B65</f>
        <v>1.0042735042735043</v>
      </c>
      <c r="K65" s="23"/>
      <c r="L65" s="23">
        <v>1200</v>
      </c>
      <c r="M65" s="26" t="e">
        <f t="shared" si="6"/>
        <v>#DIV/0!</v>
      </c>
      <c r="N65" s="26">
        <f t="shared" si="7"/>
        <v>1.0212765957446808</v>
      </c>
    </row>
    <row r="66" spans="1:14" s="28" customFormat="1" ht="30.75" customHeight="1">
      <c r="A66" s="71" t="s">
        <v>137</v>
      </c>
      <c r="B66" s="72">
        <v>196.21</v>
      </c>
      <c r="C66" s="73">
        <f>45</f>
        <v>45</v>
      </c>
      <c r="D66" s="78">
        <v>53.5</v>
      </c>
      <c r="E66" s="73">
        <v>0</v>
      </c>
      <c r="F66" s="98"/>
      <c r="G66" s="73">
        <f aca="true" t="shared" si="17" ref="G66:G72">D66-E66</f>
        <v>53.5</v>
      </c>
      <c r="H66" s="75">
        <f t="shared" si="13"/>
        <v>0</v>
      </c>
      <c r="I66" s="103">
        <f t="shared" si="12"/>
        <v>0</v>
      </c>
      <c r="J66" s="103">
        <f>G66/B66</f>
        <v>0.2726670404158809</v>
      </c>
      <c r="K66" s="23"/>
      <c r="L66" s="23">
        <f>45</f>
        <v>45</v>
      </c>
      <c r="M66" s="26" t="e">
        <f t="shared" si="6"/>
        <v>#DIV/0!</v>
      </c>
      <c r="N66" s="26">
        <f t="shared" si="7"/>
        <v>0.8411214953271028</v>
      </c>
    </row>
    <row r="67" spans="1:14" s="28" customFormat="1" ht="33.75" customHeight="1">
      <c r="A67" s="71" t="s">
        <v>57</v>
      </c>
      <c r="B67" s="72">
        <v>0</v>
      </c>
      <c r="C67" s="73">
        <v>0</v>
      </c>
      <c r="D67" s="78">
        <v>0</v>
      </c>
      <c r="E67" s="73">
        <v>0</v>
      </c>
      <c r="F67" s="98"/>
      <c r="G67" s="73">
        <f t="shared" si="17"/>
        <v>0</v>
      </c>
      <c r="H67" s="75">
        <f t="shared" si="13"/>
        <v>0</v>
      </c>
      <c r="I67" s="103" t="e">
        <f t="shared" si="12"/>
        <v>#DIV/0!</v>
      </c>
      <c r="J67" s="103"/>
      <c r="K67" s="23"/>
      <c r="L67" s="23">
        <v>0</v>
      </c>
      <c r="M67" s="26" t="e">
        <f t="shared" si="6"/>
        <v>#DIV/0!</v>
      </c>
      <c r="N67" s="26" t="e">
        <f t="shared" si="7"/>
        <v>#DIV/0!</v>
      </c>
    </row>
    <row r="68" spans="1:16" s="28" customFormat="1" ht="30.75" customHeight="1">
      <c r="A68" s="71" t="s">
        <v>138</v>
      </c>
      <c r="B68" s="72">
        <v>1056.58</v>
      </c>
      <c r="C68" s="73">
        <f>1205.67</f>
        <v>1205.67</v>
      </c>
      <c r="D68" s="78">
        <v>1205.67</v>
      </c>
      <c r="E68" s="73">
        <v>0</v>
      </c>
      <c r="F68" s="98"/>
      <c r="G68" s="73">
        <f t="shared" si="17"/>
        <v>1205.67</v>
      </c>
      <c r="H68" s="75">
        <f t="shared" si="13"/>
        <v>0</v>
      </c>
      <c r="I68" s="103">
        <f t="shared" si="12"/>
        <v>0</v>
      </c>
      <c r="J68" s="103">
        <f>G68/B68</f>
        <v>1.1411062106040244</v>
      </c>
      <c r="K68" s="23"/>
      <c r="L68" s="23">
        <f>1617+2145.5</f>
        <v>3762.5</v>
      </c>
      <c r="M68" s="26" t="e">
        <f t="shared" si="6"/>
        <v>#DIV/0!</v>
      </c>
      <c r="N68" s="26">
        <f t="shared" si="7"/>
        <v>3.1206714938581865</v>
      </c>
      <c r="P68" s="28">
        <v>2145.5</v>
      </c>
    </row>
    <row r="69" spans="1:14" s="28" customFormat="1" ht="29.25" customHeight="1">
      <c r="A69" s="71" t="s">
        <v>139</v>
      </c>
      <c r="B69" s="72">
        <v>0</v>
      </c>
      <c r="C69" s="73">
        <v>0</v>
      </c>
      <c r="D69" s="78">
        <v>0</v>
      </c>
      <c r="E69" s="73">
        <v>0</v>
      </c>
      <c r="F69" s="98"/>
      <c r="G69" s="73">
        <f t="shared" si="17"/>
        <v>0</v>
      </c>
      <c r="H69" s="75">
        <f t="shared" si="13"/>
        <v>0</v>
      </c>
      <c r="I69" s="103" t="e">
        <f t="shared" si="12"/>
        <v>#DIV/0!</v>
      </c>
      <c r="J69" s="103"/>
      <c r="K69" s="23"/>
      <c r="L69" s="23">
        <v>0</v>
      </c>
      <c r="M69" s="26" t="e">
        <f t="shared" si="6"/>
        <v>#DIV/0!</v>
      </c>
      <c r="N69" s="26" t="e">
        <f t="shared" si="7"/>
        <v>#DIV/0!</v>
      </c>
    </row>
    <row r="70" spans="1:16" s="28" customFormat="1" ht="31.5" customHeight="1">
      <c r="A70" s="71" t="s">
        <v>140</v>
      </c>
      <c r="B70" s="85">
        <f>1007.39-32.691</f>
        <v>974.699</v>
      </c>
      <c r="C70" s="82">
        <v>633.25</v>
      </c>
      <c r="D70" s="82">
        <v>1187.44</v>
      </c>
      <c r="E70" s="73">
        <v>14.5</v>
      </c>
      <c r="F70" s="98"/>
      <c r="G70" s="73">
        <f t="shared" si="17"/>
        <v>1172.94</v>
      </c>
      <c r="H70" s="75">
        <f t="shared" si="13"/>
        <v>-14.5</v>
      </c>
      <c r="I70" s="103">
        <f t="shared" si="12"/>
        <v>0</v>
      </c>
      <c r="J70" s="103">
        <f>G70/B70</f>
        <v>1.2033868917481192</v>
      </c>
      <c r="K70" s="23"/>
      <c r="L70" s="23">
        <f>114.3+16.4+189.4+66.5+54+600</f>
        <v>1040.6</v>
      </c>
      <c r="M70" s="26" t="e">
        <f t="shared" si="6"/>
        <v>#DIV/0!</v>
      </c>
      <c r="N70" s="26">
        <f t="shared" si="7"/>
        <v>0.887172404385561</v>
      </c>
      <c r="P70" s="28">
        <v>600</v>
      </c>
    </row>
    <row r="71" spans="1:14" s="28" customFormat="1" ht="57" customHeight="1">
      <c r="A71" s="71" t="s">
        <v>150</v>
      </c>
      <c r="B71" s="85">
        <f>366.16+89.94+53.25</f>
        <v>509.35</v>
      </c>
      <c r="C71" s="82">
        <v>704.54</v>
      </c>
      <c r="D71" s="82">
        <v>812.64</v>
      </c>
      <c r="E71" s="73">
        <f>227.82-43.96</f>
        <v>183.85999999999999</v>
      </c>
      <c r="F71" s="98"/>
      <c r="G71" s="73">
        <f t="shared" si="17"/>
        <v>628.78</v>
      </c>
      <c r="H71" s="75">
        <f t="shared" si="13"/>
        <v>-183.86</v>
      </c>
      <c r="I71" s="103">
        <f t="shared" si="12"/>
        <v>0</v>
      </c>
      <c r="J71" s="103">
        <f>G71/B71</f>
        <v>1.2344753116717384</v>
      </c>
      <c r="K71" s="23"/>
      <c r="L71" s="23">
        <f>98.3+1043.1</f>
        <v>1141.3999999999999</v>
      </c>
      <c r="M71" s="26" t="e">
        <f t="shared" si="6"/>
        <v>#DIV/0!</v>
      </c>
      <c r="N71" s="26">
        <f t="shared" si="7"/>
        <v>1.8152612996596582</v>
      </c>
    </row>
    <row r="72" spans="1:16" s="28" customFormat="1" ht="31.5" customHeight="1">
      <c r="A72" s="71" t="s">
        <v>163</v>
      </c>
      <c r="B72" s="161">
        <f>5216.66-60-1861.856</f>
        <v>3294.804</v>
      </c>
      <c r="C72" s="82">
        <f>6228.79-1189</f>
        <v>5039.79</v>
      </c>
      <c r="D72" s="82">
        <f>8188.34-1109</f>
        <v>7079.34</v>
      </c>
      <c r="E72" s="73">
        <v>1019.79</v>
      </c>
      <c r="F72" s="98"/>
      <c r="G72" s="73">
        <f t="shared" si="17"/>
        <v>6059.55</v>
      </c>
      <c r="H72" s="75">
        <f t="shared" si="13"/>
        <v>-1019.79</v>
      </c>
      <c r="I72" s="103">
        <f t="shared" si="12"/>
        <v>0</v>
      </c>
      <c r="J72" s="103">
        <f>G72/B72</f>
        <v>1.8391230555747777</v>
      </c>
      <c r="K72" s="23"/>
      <c r="L72" s="56">
        <f>202.3+3531.2+361.9+628.8+300+529.41+2800-1143.27</f>
        <v>7210.34</v>
      </c>
      <c r="M72" s="26" t="e">
        <f t="shared" si="6"/>
        <v>#DIV/0!</v>
      </c>
      <c r="N72" s="26">
        <f t="shared" si="7"/>
        <v>1.1899134424173412</v>
      </c>
      <c r="P72" s="28">
        <v>2800</v>
      </c>
    </row>
    <row r="73" spans="1:14" s="27" customFormat="1" ht="43.5" customHeight="1" hidden="1">
      <c r="A73" s="83" t="s">
        <v>76</v>
      </c>
      <c r="B73" s="97">
        <v>60</v>
      </c>
      <c r="C73" s="98"/>
      <c r="D73" s="98"/>
      <c r="E73" s="98"/>
      <c r="F73" s="98"/>
      <c r="G73" s="98"/>
      <c r="H73" s="75">
        <f t="shared" si="13"/>
        <v>0</v>
      </c>
      <c r="I73" s="103">
        <f>F73/B73</f>
        <v>0</v>
      </c>
      <c r="J73" s="103">
        <f>G73/B73</f>
        <v>0</v>
      </c>
      <c r="K73" s="25"/>
      <c r="L73" s="25"/>
      <c r="M73" s="19" t="e">
        <f t="shared" si="6"/>
        <v>#DIV/0!</v>
      </c>
      <c r="N73" s="19" t="e">
        <f t="shared" si="7"/>
        <v>#DIV/0!</v>
      </c>
    </row>
    <row r="74" spans="1:14" s="27" customFormat="1" ht="21" customHeight="1" hidden="1">
      <c r="A74" s="83" t="s">
        <v>77</v>
      </c>
      <c r="B74" s="97">
        <v>94.55</v>
      </c>
      <c r="C74" s="98"/>
      <c r="D74" s="98"/>
      <c r="E74" s="98"/>
      <c r="F74" s="98"/>
      <c r="G74" s="98"/>
      <c r="H74" s="75">
        <f t="shared" si="13"/>
        <v>0</v>
      </c>
      <c r="I74" s="103">
        <f>F74/B74</f>
        <v>0</v>
      </c>
      <c r="J74" s="103">
        <f>G74/B74</f>
        <v>0</v>
      </c>
      <c r="K74" s="25"/>
      <c r="L74" s="25"/>
      <c r="M74" s="19" t="e">
        <f t="shared" si="6"/>
        <v>#DIV/0!</v>
      </c>
      <c r="N74" s="19" t="e">
        <f t="shared" si="7"/>
        <v>#DIV/0!</v>
      </c>
    </row>
    <row r="75" spans="1:14" s="27" customFormat="1" ht="33.75" customHeight="1" hidden="1">
      <c r="A75" s="83" t="s">
        <v>78</v>
      </c>
      <c r="B75" s="97">
        <v>61.9</v>
      </c>
      <c r="C75" s="98"/>
      <c r="D75" s="98"/>
      <c r="E75" s="98"/>
      <c r="F75" s="98"/>
      <c r="G75" s="98"/>
      <c r="H75" s="75">
        <f t="shared" si="13"/>
        <v>0</v>
      </c>
      <c r="I75" s="103">
        <f>F75/B75</f>
        <v>0</v>
      </c>
      <c r="J75" s="103">
        <f>G75/B75</f>
        <v>0</v>
      </c>
      <c r="K75" s="25"/>
      <c r="L75" s="25"/>
      <c r="M75" s="19" t="e">
        <f t="shared" si="6"/>
        <v>#DIV/0!</v>
      </c>
      <c r="N75" s="19" t="e">
        <f t="shared" si="7"/>
        <v>#DIV/0!</v>
      </c>
    </row>
    <row r="76" spans="1:14" s="27" customFormat="1" ht="43.5" customHeight="1" hidden="1">
      <c r="A76" s="83" t="s">
        <v>79</v>
      </c>
      <c r="B76" s="97">
        <v>20.33</v>
      </c>
      <c r="C76" s="98"/>
      <c r="D76" s="98"/>
      <c r="E76" s="98"/>
      <c r="F76" s="98"/>
      <c r="G76" s="98"/>
      <c r="H76" s="75">
        <f t="shared" si="13"/>
        <v>0</v>
      </c>
      <c r="I76" s="103">
        <f>F76/B76</f>
        <v>0</v>
      </c>
      <c r="J76" s="103">
        <f>G76/B76</f>
        <v>0</v>
      </c>
      <c r="K76" s="25"/>
      <c r="L76" s="25"/>
      <c r="M76" s="19" t="e">
        <f t="shared" si="6"/>
        <v>#DIV/0!</v>
      </c>
      <c r="N76" s="19" t="e">
        <f t="shared" si="7"/>
        <v>#DIV/0!</v>
      </c>
    </row>
    <row r="77" spans="1:14" s="27" customFormat="1" ht="30.75" customHeight="1" hidden="1">
      <c r="A77" s="83" t="s">
        <v>80</v>
      </c>
      <c r="B77" s="97">
        <v>202.7</v>
      </c>
      <c r="C77" s="98"/>
      <c r="D77" s="98"/>
      <c r="E77" s="98"/>
      <c r="F77" s="98"/>
      <c r="G77" s="98"/>
      <c r="H77" s="75">
        <f t="shared" si="13"/>
        <v>0</v>
      </c>
      <c r="I77" s="103">
        <f t="shared" si="12"/>
        <v>0</v>
      </c>
      <c r="J77" s="103">
        <f>G77/B77</f>
        <v>0</v>
      </c>
      <c r="K77" s="25"/>
      <c r="L77" s="25"/>
      <c r="M77" s="19" t="e">
        <f t="shared" si="6"/>
        <v>#DIV/0!</v>
      </c>
      <c r="N77" s="19" t="e">
        <f t="shared" si="7"/>
        <v>#DIV/0!</v>
      </c>
    </row>
    <row r="78" spans="1:14" s="27" customFormat="1" ht="43.5" customHeight="1" hidden="1">
      <c r="A78" s="83" t="s">
        <v>81</v>
      </c>
      <c r="B78" s="97">
        <v>0.36</v>
      </c>
      <c r="C78" s="98"/>
      <c r="D78" s="98"/>
      <c r="E78" s="98"/>
      <c r="F78" s="98"/>
      <c r="G78" s="98"/>
      <c r="H78" s="75">
        <f t="shared" si="13"/>
        <v>0</v>
      </c>
      <c r="I78" s="103">
        <f t="shared" si="12"/>
        <v>0</v>
      </c>
      <c r="J78" s="103">
        <f>G78/B78</f>
        <v>0</v>
      </c>
      <c r="K78" s="25"/>
      <c r="L78" s="25"/>
      <c r="M78" s="19" t="e">
        <f t="shared" si="6"/>
        <v>#DIV/0!</v>
      </c>
      <c r="N78" s="19" t="e">
        <f t="shared" si="7"/>
        <v>#DIV/0!</v>
      </c>
    </row>
    <row r="79" spans="1:14" s="27" customFormat="1" ht="43.5" customHeight="1" hidden="1">
      <c r="A79" s="83" t="s">
        <v>82</v>
      </c>
      <c r="B79" s="97">
        <v>10.8</v>
      </c>
      <c r="C79" s="98"/>
      <c r="D79" s="98"/>
      <c r="E79" s="98"/>
      <c r="F79" s="98"/>
      <c r="G79" s="98"/>
      <c r="H79" s="75">
        <f t="shared" si="13"/>
        <v>0</v>
      </c>
      <c r="I79" s="103">
        <f t="shared" si="12"/>
        <v>0</v>
      </c>
      <c r="J79" s="103">
        <f>G79/B79</f>
        <v>0</v>
      </c>
      <c r="K79" s="25"/>
      <c r="L79" s="25"/>
      <c r="M79" s="19" t="e">
        <f t="shared" si="6"/>
        <v>#DIV/0!</v>
      </c>
      <c r="N79" s="19" t="e">
        <f t="shared" si="7"/>
        <v>#DIV/0!</v>
      </c>
    </row>
    <row r="80" spans="1:14" s="27" customFormat="1" ht="43.5" customHeight="1" hidden="1">
      <c r="A80" s="83" t="s">
        <v>83</v>
      </c>
      <c r="B80" s="97">
        <v>31.75</v>
      </c>
      <c r="C80" s="98"/>
      <c r="D80" s="98"/>
      <c r="E80" s="98"/>
      <c r="F80" s="98"/>
      <c r="G80" s="98"/>
      <c r="H80" s="75">
        <f t="shared" si="13"/>
        <v>0</v>
      </c>
      <c r="I80" s="103">
        <f t="shared" si="12"/>
        <v>0</v>
      </c>
      <c r="J80" s="103">
        <f>G80/B80</f>
        <v>0</v>
      </c>
      <c r="K80" s="25"/>
      <c r="L80" s="25"/>
      <c r="M80" s="19" t="e">
        <f t="shared" si="6"/>
        <v>#DIV/0!</v>
      </c>
      <c r="N80" s="19" t="e">
        <f t="shared" si="7"/>
        <v>#DIV/0!</v>
      </c>
    </row>
    <row r="81" spans="1:14" s="28" customFormat="1" ht="43.5" customHeight="1" hidden="1">
      <c r="A81" s="83" t="s">
        <v>84</v>
      </c>
      <c r="B81" s="97">
        <v>185</v>
      </c>
      <c r="C81" s="73"/>
      <c r="D81" s="73"/>
      <c r="E81" s="73"/>
      <c r="F81" s="98"/>
      <c r="G81" s="73"/>
      <c r="H81" s="75"/>
      <c r="I81" s="103">
        <f t="shared" si="12"/>
        <v>0</v>
      </c>
      <c r="J81" s="103">
        <f>G81/B81</f>
        <v>0</v>
      </c>
      <c r="K81" s="23"/>
      <c r="L81" s="23"/>
      <c r="M81" s="26"/>
      <c r="N81" s="26"/>
    </row>
    <row r="82" spans="1:14" s="28" customFormat="1" ht="57" customHeight="1" hidden="1">
      <c r="A82" s="83" t="s">
        <v>85</v>
      </c>
      <c r="B82" s="97">
        <v>30.03</v>
      </c>
      <c r="C82" s="73"/>
      <c r="D82" s="73"/>
      <c r="E82" s="73"/>
      <c r="F82" s="98"/>
      <c r="G82" s="73"/>
      <c r="H82" s="75"/>
      <c r="I82" s="103">
        <f t="shared" si="12"/>
        <v>0</v>
      </c>
      <c r="J82" s="103">
        <f>G82/B82</f>
        <v>0</v>
      </c>
      <c r="K82" s="23"/>
      <c r="L82" s="23"/>
      <c r="M82" s="26"/>
      <c r="N82" s="26"/>
    </row>
    <row r="83" spans="1:14" s="27" customFormat="1" ht="19.5" customHeight="1" hidden="1">
      <c r="A83" s="83" t="s">
        <v>86</v>
      </c>
      <c r="B83" s="97">
        <v>89.9</v>
      </c>
      <c r="C83" s="98"/>
      <c r="D83" s="98"/>
      <c r="E83" s="98"/>
      <c r="F83" s="98"/>
      <c r="G83" s="98"/>
      <c r="H83" s="75">
        <f>G83-D83</f>
        <v>0</v>
      </c>
      <c r="I83" s="103">
        <f t="shared" si="12"/>
        <v>0</v>
      </c>
      <c r="J83" s="103">
        <f>G83/B83</f>
        <v>0</v>
      </c>
      <c r="K83" s="25"/>
      <c r="L83" s="25"/>
      <c r="M83" s="19" t="e">
        <f aca="true" t="shared" si="18" ref="M83:N85">K83/F83</f>
        <v>#DIV/0!</v>
      </c>
      <c r="N83" s="19" t="e">
        <f t="shared" si="18"/>
        <v>#DIV/0!</v>
      </c>
    </row>
    <row r="84" spans="1:14" s="27" customFormat="1" ht="26.25" customHeight="1" hidden="1">
      <c r="A84" s="83" t="s">
        <v>87</v>
      </c>
      <c r="B84" s="97">
        <v>30</v>
      </c>
      <c r="C84" s="98"/>
      <c r="D84" s="98"/>
      <c r="E84" s="98"/>
      <c r="F84" s="98"/>
      <c r="G84" s="98"/>
      <c r="H84" s="75">
        <f>G84-D84</f>
        <v>0</v>
      </c>
      <c r="I84" s="103">
        <f t="shared" si="12"/>
        <v>0</v>
      </c>
      <c r="J84" s="103">
        <f>G84/B84</f>
        <v>0</v>
      </c>
      <c r="K84" s="25"/>
      <c r="L84" s="25"/>
      <c r="M84" s="19" t="e">
        <f t="shared" si="18"/>
        <v>#DIV/0!</v>
      </c>
      <c r="N84" s="19" t="e">
        <f t="shared" si="18"/>
        <v>#DIV/0!</v>
      </c>
    </row>
    <row r="85" spans="1:14" s="27" customFormat="1" ht="58.5" customHeight="1" hidden="1">
      <c r="A85" s="83" t="s">
        <v>88</v>
      </c>
      <c r="B85" s="97">
        <v>33.28</v>
      </c>
      <c r="C85" s="98"/>
      <c r="D85" s="98"/>
      <c r="E85" s="98"/>
      <c r="F85" s="98"/>
      <c r="G85" s="98"/>
      <c r="H85" s="75">
        <f>G85-D85</f>
        <v>0</v>
      </c>
      <c r="I85" s="103">
        <f>F85/B85</f>
        <v>0</v>
      </c>
      <c r="J85" s="103">
        <f>G85/B85</f>
        <v>0</v>
      </c>
      <c r="K85" s="25"/>
      <c r="L85" s="25"/>
      <c r="M85" s="19" t="e">
        <f t="shared" si="18"/>
        <v>#DIV/0!</v>
      </c>
      <c r="N85" s="19" t="e">
        <f t="shared" si="18"/>
        <v>#DIV/0!</v>
      </c>
    </row>
    <row r="86" spans="1:14" s="27" customFormat="1" ht="57" customHeight="1" hidden="1">
      <c r="A86" s="83" t="s">
        <v>89</v>
      </c>
      <c r="B86" s="97">
        <v>4.28</v>
      </c>
      <c r="C86" s="98"/>
      <c r="D86" s="98"/>
      <c r="E86" s="98"/>
      <c r="F86" s="98"/>
      <c r="G86" s="98"/>
      <c r="H86" s="75">
        <f aca="true" t="shared" si="19" ref="H86:H91">G86-D86</f>
        <v>0</v>
      </c>
      <c r="I86" s="103">
        <f aca="true" t="shared" si="20" ref="I86:I91">F86/B86</f>
        <v>0</v>
      </c>
      <c r="J86" s="103">
        <f aca="true" t="shared" si="21" ref="J86:J91">G86/B86</f>
        <v>0</v>
      </c>
      <c r="K86" s="25"/>
      <c r="L86" s="25"/>
      <c r="M86" s="19" t="e">
        <f aca="true" t="shared" si="22" ref="M86:M91">K86/F86</f>
        <v>#DIV/0!</v>
      </c>
      <c r="N86" s="19" t="e">
        <f aca="true" t="shared" si="23" ref="N86:N91">L86/G86</f>
        <v>#DIV/0!</v>
      </c>
    </row>
    <row r="87" spans="1:14" s="27" customFormat="1" ht="57.75" customHeight="1" hidden="1">
      <c r="A87" s="83" t="s">
        <v>89</v>
      </c>
      <c r="B87" s="97">
        <v>6.38</v>
      </c>
      <c r="C87" s="98"/>
      <c r="D87" s="98"/>
      <c r="E87" s="98"/>
      <c r="F87" s="98"/>
      <c r="G87" s="98"/>
      <c r="H87" s="75">
        <f t="shared" si="19"/>
        <v>0</v>
      </c>
      <c r="I87" s="103">
        <f t="shared" si="20"/>
        <v>0</v>
      </c>
      <c r="J87" s="103">
        <f t="shared" si="21"/>
        <v>0</v>
      </c>
      <c r="K87" s="25"/>
      <c r="L87" s="25"/>
      <c r="M87" s="19" t="e">
        <f t="shared" si="22"/>
        <v>#DIV/0!</v>
      </c>
      <c r="N87" s="19" t="e">
        <f t="shared" si="23"/>
        <v>#DIV/0!</v>
      </c>
    </row>
    <row r="88" spans="1:14" s="27" customFormat="1" ht="33" customHeight="1" hidden="1">
      <c r="A88" s="83" t="s">
        <v>90</v>
      </c>
      <c r="B88" s="97">
        <v>49.81</v>
      </c>
      <c r="C88" s="98"/>
      <c r="D88" s="98"/>
      <c r="E88" s="98"/>
      <c r="F88" s="98"/>
      <c r="G88" s="98"/>
      <c r="H88" s="75">
        <f t="shared" si="19"/>
        <v>0</v>
      </c>
      <c r="I88" s="103">
        <f t="shared" si="20"/>
        <v>0</v>
      </c>
      <c r="J88" s="103">
        <f t="shared" si="21"/>
        <v>0</v>
      </c>
      <c r="K88" s="25"/>
      <c r="L88" s="25"/>
      <c r="M88" s="19" t="e">
        <f t="shared" si="22"/>
        <v>#DIV/0!</v>
      </c>
      <c r="N88" s="19" t="e">
        <f t="shared" si="23"/>
        <v>#DIV/0!</v>
      </c>
    </row>
    <row r="89" spans="1:14" s="27" customFormat="1" ht="43.5" customHeight="1" hidden="1">
      <c r="A89" s="83" t="s">
        <v>91</v>
      </c>
      <c r="B89" s="97">
        <v>161.7</v>
      </c>
      <c r="C89" s="98"/>
      <c r="D89" s="98"/>
      <c r="E89" s="98"/>
      <c r="F89" s="98"/>
      <c r="G89" s="98"/>
      <c r="H89" s="75">
        <f t="shared" si="19"/>
        <v>0</v>
      </c>
      <c r="I89" s="103">
        <f t="shared" si="20"/>
        <v>0</v>
      </c>
      <c r="J89" s="103">
        <f t="shared" si="21"/>
        <v>0</v>
      </c>
      <c r="K89" s="25"/>
      <c r="L89" s="25"/>
      <c r="M89" s="19" t="e">
        <f t="shared" si="22"/>
        <v>#DIV/0!</v>
      </c>
      <c r="N89" s="19" t="e">
        <f t="shared" si="23"/>
        <v>#DIV/0!</v>
      </c>
    </row>
    <row r="90" spans="1:14" s="27" customFormat="1" ht="43.5" customHeight="1" hidden="1">
      <c r="A90" s="83" t="s">
        <v>93</v>
      </c>
      <c r="B90" s="97">
        <v>193.8</v>
      </c>
      <c r="C90" s="98"/>
      <c r="D90" s="98"/>
      <c r="E90" s="98"/>
      <c r="F90" s="98"/>
      <c r="G90" s="98"/>
      <c r="H90" s="75">
        <f t="shared" si="19"/>
        <v>0</v>
      </c>
      <c r="I90" s="103">
        <f t="shared" si="20"/>
        <v>0</v>
      </c>
      <c r="J90" s="103">
        <f t="shared" si="21"/>
        <v>0</v>
      </c>
      <c r="K90" s="25"/>
      <c r="L90" s="25"/>
      <c r="M90" s="19" t="e">
        <f t="shared" si="22"/>
        <v>#DIV/0!</v>
      </c>
      <c r="N90" s="19" t="e">
        <f t="shared" si="23"/>
        <v>#DIV/0!</v>
      </c>
    </row>
    <row r="91" spans="1:14" s="27" customFormat="1" ht="54" customHeight="1" hidden="1">
      <c r="A91" s="83" t="s">
        <v>92</v>
      </c>
      <c r="B91" s="97">
        <v>15.4</v>
      </c>
      <c r="C91" s="98"/>
      <c r="D91" s="98"/>
      <c r="E91" s="98"/>
      <c r="F91" s="98"/>
      <c r="G91" s="98"/>
      <c r="H91" s="75">
        <f t="shared" si="19"/>
        <v>0</v>
      </c>
      <c r="I91" s="103">
        <f t="shared" si="20"/>
        <v>0</v>
      </c>
      <c r="J91" s="103">
        <f t="shared" si="21"/>
        <v>0</v>
      </c>
      <c r="K91" s="25"/>
      <c r="L91" s="25"/>
      <c r="M91" s="19" t="e">
        <f t="shared" si="22"/>
        <v>#DIV/0!</v>
      </c>
      <c r="N91" s="19" t="e">
        <f t="shared" si="23"/>
        <v>#DIV/0!</v>
      </c>
    </row>
    <row r="92" spans="1:14" s="27" customFormat="1" ht="28.5" customHeight="1" hidden="1">
      <c r="A92" s="83" t="s">
        <v>94</v>
      </c>
      <c r="B92" s="97">
        <v>53.71</v>
      </c>
      <c r="C92" s="98"/>
      <c r="D92" s="98"/>
      <c r="E92" s="98"/>
      <c r="F92" s="98"/>
      <c r="G92" s="98"/>
      <c r="H92" s="75">
        <f aca="true" t="shared" si="24" ref="H92:H97">G92-D92</f>
        <v>0</v>
      </c>
      <c r="I92" s="103">
        <f>F92/B92</f>
        <v>0</v>
      </c>
      <c r="J92" s="103">
        <f>G92/B92</f>
        <v>0</v>
      </c>
      <c r="K92" s="25"/>
      <c r="L92" s="25"/>
      <c r="M92" s="19" t="e">
        <f aca="true" t="shared" si="25" ref="M92:N97">K92/F92</f>
        <v>#DIV/0!</v>
      </c>
      <c r="N92" s="19" t="e">
        <f t="shared" si="25"/>
        <v>#DIV/0!</v>
      </c>
    </row>
    <row r="93" spans="1:14" s="27" customFormat="1" ht="30" customHeight="1" hidden="1">
      <c r="A93" s="83" t="s">
        <v>95</v>
      </c>
      <c r="B93" s="97">
        <v>50.42</v>
      </c>
      <c r="C93" s="98"/>
      <c r="D93" s="98"/>
      <c r="E93" s="98"/>
      <c r="F93" s="98"/>
      <c r="G93" s="98"/>
      <c r="H93" s="75">
        <f t="shared" si="24"/>
        <v>0</v>
      </c>
      <c r="I93" s="103">
        <f>F93/B93</f>
        <v>0</v>
      </c>
      <c r="J93" s="103">
        <f>G93/B93</f>
        <v>0</v>
      </c>
      <c r="K93" s="25"/>
      <c r="L93" s="25"/>
      <c r="M93" s="19" t="e">
        <f t="shared" si="25"/>
        <v>#DIV/0!</v>
      </c>
      <c r="N93" s="19" t="e">
        <f t="shared" si="25"/>
        <v>#DIV/0!</v>
      </c>
    </row>
    <row r="94" spans="1:14" s="27" customFormat="1" ht="30" customHeight="1" hidden="1">
      <c r="A94" s="83" t="s">
        <v>96</v>
      </c>
      <c r="B94" s="97">
        <v>147.05</v>
      </c>
      <c r="C94" s="98"/>
      <c r="D94" s="98"/>
      <c r="E94" s="98"/>
      <c r="F94" s="98"/>
      <c r="G94" s="98"/>
      <c r="H94" s="75">
        <f t="shared" si="24"/>
        <v>0</v>
      </c>
      <c r="I94" s="103">
        <f>F94/B94</f>
        <v>0</v>
      </c>
      <c r="J94" s="103">
        <f>G94/B94</f>
        <v>0</v>
      </c>
      <c r="K94" s="25"/>
      <c r="L94" s="25"/>
      <c r="M94" s="19" t="e">
        <f t="shared" si="25"/>
        <v>#DIV/0!</v>
      </c>
      <c r="N94" s="19" t="e">
        <f t="shared" si="25"/>
        <v>#DIV/0!</v>
      </c>
    </row>
    <row r="95" spans="1:14" s="27" customFormat="1" ht="43.5" customHeight="1" hidden="1">
      <c r="A95" s="83" t="s">
        <v>97</v>
      </c>
      <c r="B95" s="97">
        <v>18</v>
      </c>
      <c r="C95" s="98"/>
      <c r="D95" s="98"/>
      <c r="E95" s="98"/>
      <c r="F95" s="98"/>
      <c r="G95" s="98"/>
      <c r="H95" s="75">
        <f t="shared" si="24"/>
        <v>0</v>
      </c>
      <c r="I95" s="103">
        <f t="shared" si="12"/>
        <v>0</v>
      </c>
      <c r="J95" s="103">
        <f>G95/B95</f>
        <v>0</v>
      </c>
      <c r="K95" s="25"/>
      <c r="L95" s="25"/>
      <c r="M95" s="19" t="e">
        <f t="shared" si="25"/>
        <v>#DIV/0!</v>
      </c>
      <c r="N95" s="19" t="e">
        <f t="shared" si="25"/>
        <v>#DIV/0!</v>
      </c>
    </row>
    <row r="96" spans="1:14" s="27" customFormat="1" ht="43.5" customHeight="1" hidden="1">
      <c r="A96" s="83" t="s">
        <v>98</v>
      </c>
      <c r="B96" s="97">
        <v>25.05</v>
      </c>
      <c r="C96" s="98"/>
      <c r="D96" s="98"/>
      <c r="E96" s="98"/>
      <c r="F96" s="98"/>
      <c r="G96" s="98"/>
      <c r="H96" s="75">
        <f t="shared" si="24"/>
        <v>0</v>
      </c>
      <c r="I96" s="103">
        <f>F96/B96</f>
        <v>0</v>
      </c>
      <c r="J96" s="103">
        <f>G96/B96</f>
        <v>0</v>
      </c>
      <c r="K96" s="25"/>
      <c r="L96" s="25"/>
      <c r="M96" s="19" t="e">
        <f t="shared" si="25"/>
        <v>#DIV/0!</v>
      </c>
      <c r="N96" s="19" t="e">
        <f t="shared" si="25"/>
        <v>#DIV/0!</v>
      </c>
    </row>
    <row r="97" spans="1:14" s="27" customFormat="1" ht="81" customHeight="1" hidden="1">
      <c r="A97" s="83" t="s">
        <v>99</v>
      </c>
      <c r="B97" s="97">
        <v>59.02</v>
      </c>
      <c r="C97" s="98"/>
      <c r="D97" s="98"/>
      <c r="E97" s="98"/>
      <c r="F97" s="98"/>
      <c r="G97" s="98"/>
      <c r="H97" s="75">
        <f t="shared" si="24"/>
        <v>0</v>
      </c>
      <c r="I97" s="103">
        <f>F97/B97</f>
        <v>0</v>
      </c>
      <c r="J97" s="103">
        <f>G97/B97</f>
        <v>0</v>
      </c>
      <c r="K97" s="25"/>
      <c r="L97" s="25"/>
      <c r="M97" s="19" t="e">
        <f t="shared" si="25"/>
        <v>#DIV/0!</v>
      </c>
      <c r="N97" s="19" t="e">
        <f t="shared" si="25"/>
        <v>#DIV/0!</v>
      </c>
    </row>
    <row r="98" spans="1:14" s="27" customFormat="1" ht="27" customHeight="1" hidden="1">
      <c r="A98" s="83" t="s">
        <v>100</v>
      </c>
      <c r="B98" s="97">
        <v>0.53</v>
      </c>
      <c r="C98" s="98"/>
      <c r="D98" s="98"/>
      <c r="E98" s="98"/>
      <c r="F98" s="98"/>
      <c r="G98" s="98"/>
      <c r="H98" s="75">
        <f aca="true" t="shared" si="26" ref="H98:H113">G98-D98</f>
        <v>0</v>
      </c>
      <c r="I98" s="103">
        <f t="shared" si="12"/>
        <v>0</v>
      </c>
      <c r="J98" s="103">
        <f>G98/B98</f>
        <v>0</v>
      </c>
      <c r="K98" s="25"/>
      <c r="L98" s="25"/>
      <c r="M98" s="19" t="e">
        <f aca="true" t="shared" si="27" ref="M98:M113">K98/F98</f>
        <v>#DIV/0!</v>
      </c>
      <c r="N98" s="19" t="e">
        <f aca="true" t="shared" si="28" ref="N98:N113">L98/G98</f>
        <v>#DIV/0!</v>
      </c>
    </row>
    <row r="99" spans="1:14" s="27" customFormat="1" ht="30" customHeight="1" hidden="1">
      <c r="A99" s="83" t="s">
        <v>101</v>
      </c>
      <c r="B99" s="97">
        <v>25.88</v>
      </c>
      <c r="C99" s="98"/>
      <c r="D99" s="98"/>
      <c r="E99" s="98"/>
      <c r="F99" s="98"/>
      <c r="G99" s="98"/>
      <c r="H99" s="75">
        <f t="shared" si="26"/>
        <v>0</v>
      </c>
      <c r="I99" s="103">
        <f t="shared" si="12"/>
        <v>0</v>
      </c>
      <c r="J99" s="103">
        <f>G99/B99</f>
        <v>0</v>
      </c>
      <c r="K99" s="25"/>
      <c r="L99" s="25"/>
      <c r="M99" s="19" t="e">
        <f t="shared" si="27"/>
        <v>#DIV/0!</v>
      </c>
      <c r="N99" s="19" t="e">
        <f t="shared" si="28"/>
        <v>#DIV/0!</v>
      </c>
    </row>
    <row r="100" spans="1:14" s="27" customFormat="1" ht="32.25" customHeight="1" hidden="1">
      <c r="A100" s="83" t="s">
        <v>102</v>
      </c>
      <c r="B100" s="97">
        <v>29.44</v>
      </c>
      <c r="C100" s="98"/>
      <c r="D100" s="98"/>
      <c r="E100" s="98"/>
      <c r="F100" s="98"/>
      <c r="G100" s="98"/>
      <c r="H100" s="75">
        <f t="shared" si="26"/>
        <v>0</v>
      </c>
      <c r="I100" s="103">
        <f t="shared" si="12"/>
        <v>0</v>
      </c>
      <c r="J100" s="103">
        <f>G100/B100</f>
        <v>0</v>
      </c>
      <c r="K100" s="25"/>
      <c r="L100" s="25"/>
      <c r="M100" s="19" t="e">
        <f t="shared" si="27"/>
        <v>#DIV/0!</v>
      </c>
      <c r="N100" s="19" t="e">
        <f t="shared" si="28"/>
        <v>#DIV/0!</v>
      </c>
    </row>
    <row r="101" spans="1:14" s="27" customFormat="1" ht="43.5" customHeight="1" hidden="1">
      <c r="A101" s="83" t="s">
        <v>103</v>
      </c>
      <c r="B101" s="97">
        <v>72.08</v>
      </c>
      <c r="C101" s="98"/>
      <c r="D101" s="98"/>
      <c r="E101" s="98"/>
      <c r="F101" s="98"/>
      <c r="G101" s="98"/>
      <c r="H101" s="75">
        <f t="shared" si="26"/>
        <v>0</v>
      </c>
      <c r="I101" s="103">
        <f t="shared" si="12"/>
        <v>0</v>
      </c>
      <c r="J101" s="103">
        <f>G101/B101</f>
        <v>0</v>
      </c>
      <c r="K101" s="25"/>
      <c r="L101" s="25"/>
      <c r="M101" s="19" t="e">
        <f t="shared" si="27"/>
        <v>#DIV/0!</v>
      </c>
      <c r="N101" s="19" t="e">
        <f t="shared" si="28"/>
        <v>#DIV/0!</v>
      </c>
    </row>
    <row r="102" spans="1:14" s="27" customFormat="1" ht="16.5" customHeight="1" hidden="1">
      <c r="A102" s="83" t="s">
        <v>104</v>
      </c>
      <c r="B102" s="97">
        <v>93.52</v>
      </c>
      <c r="C102" s="98"/>
      <c r="D102" s="98"/>
      <c r="E102" s="98"/>
      <c r="F102" s="98"/>
      <c r="G102" s="98"/>
      <c r="H102" s="75">
        <f t="shared" si="26"/>
        <v>0</v>
      </c>
      <c r="I102" s="103">
        <f t="shared" si="12"/>
        <v>0</v>
      </c>
      <c r="J102" s="103">
        <f>G102/B102</f>
        <v>0</v>
      </c>
      <c r="K102" s="25"/>
      <c r="L102" s="25"/>
      <c r="M102" s="19" t="e">
        <f t="shared" si="27"/>
        <v>#DIV/0!</v>
      </c>
      <c r="N102" s="19" t="e">
        <f t="shared" si="28"/>
        <v>#DIV/0!</v>
      </c>
    </row>
    <row r="103" spans="1:14" s="27" customFormat="1" ht="32.25" customHeight="1" hidden="1">
      <c r="A103" s="83" t="s">
        <v>105</v>
      </c>
      <c r="B103" s="97">
        <v>231.02</v>
      </c>
      <c r="C103" s="98"/>
      <c r="D103" s="98"/>
      <c r="E103" s="98"/>
      <c r="F103" s="98"/>
      <c r="G103" s="98"/>
      <c r="H103" s="75">
        <f t="shared" si="26"/>
        <v>0</v>
      </c>
      <c r="I103" s="103">
        <f t="shared" si="12"/>
        <v>0</v>
      </c>
      <c r="J103" s="103">
        <f>G103/B103</f>
        <v>0</v>
      </c>
      <c r="K103" s="25"/>
      <c r="L103" s="25"/>
      <c r="M103" s="19" t="e">
        <f t="shared" si="27"/>
        <v>#DIV/0!</v>
      </c>
      <c r="N103" s="19" t="e">
        <f t="shared" si="28"/>
        <v>#DIV/0!</v>
      </c>
    </row>
    <row r="104" spans="1:14" s="27" customFormat="1" ht="19.5" customHeight="1" hidden="1">
      <c r="A104" s="83" t="s">
        <v>106</v>
      </c>
      <c r="B104" s="97">
        <v>9</v>
      </c>
      <c r="C104" s="98"/>
      <c r="D104" s="98"/>
      <c r="E104" s="98"/>
      <c r="F104" s="98"/>
      <c r="G104" s="98"/>
      <c r="H104" s="75">
        <f aca="true" t="shared" si="29" ref="H104:H111">G104-D104</f>
        <v>0</v>
      </c>
      <c r="I104" s="103">
        <f aca="true" t="shared" si="30" ref="I104:I111">F104/B104</f>
        <v>0</v>
      </c>
      <c r="J104" s="103">
        <f aca="true" t="shared" si="31" ref="J104:J111">G104/B104</f>
        <v>0</v>
      </c>
      <c r="K104" s="25"/>
      <c r="L104" s="25"/>
      <c r="M104" s="19" t="e">
        <f aca="true" t="shared" si="32" ref="M104:M111">K104/F104</f>
        <v>#DIV/0!</v>
      </c>
      <c r="N104" s="19" t="e">
        <f aca="true" t="shared" si="33" ref="N104:N111">L104/G104</f>
        <v>#DIV/0!</v>
      </c>
    </row>
    <row r="105" spans="1:14" s="27" customFormat="1" ht="33.75" customHeight="1" hidden="1">
      <c r="A105" s="83" t="s">
        <v>107</v>
      </c>
      <c r="B105" s="97">
        <v>1829.05</v>
      </c>
      <c r="C105" s="98"/>
      <c r="D105" s="98"/>
      <c r="E105" s="98"/>
      <c r="F105" s="98"/>
      <c r="G105" s="98"/>
      <c r="H105" s="75">
        <f t="shared" si="29"/>
        <v>0</v>
      </c>
      <c r="I105" s="103">
        <f t="shared" si="30"/>
        <v>0</v>
      </c>
      <c r="J105" s="103">
        <f t="shared" si="31"/>
        <v>0</v>
      </c>
      <c r="K105" s="25"/>
      <c r="L105" s="25"/>
      <c r="M105" s="19" t="e">
        <f t="shared" si="32"/>
        <v>#DIV/0!</v>
      </c>
      <c r="N105" s="19" t="e">
        <f t="shared" si="33"/>
        <v>#DIV/0!</v>
      </c>
    </row>
    <row r="106" spans="1:14" s="27" customFormat="1" ht="34.5" customHeight="1" hidden="1">
      <c r="A106" s="83" t="s">
        <v>108</v>
      </c>
      <c r="B106" s="97">
        <v>219.04</v>
      </c>
      <c r="C106" s="98"/>
      <c r="D106" s="98"/>
      <c r="E106" s="98"/>
      <c r="F106" s="98"/>
      <c r="G106" s="98"/>
      <c r="H106" s="75">
        <f t="shared" si="29"/>
        <v>0</v>
      </c>
      <c r="I106" s="103">
        <f t="shared" si="30"/>
        <v>0</v>
      </c>
      <c r="J106" s="103">
        <f t="shared" si="31"/>
        <v>0</v>
      </c>
      <c r="K106" s="25"/>
      <c r="L106" s="25"/>
      <c r="M106" s="19" t="e">
        <f t="shared" si="32"/>
        <v>#DIV/0!</v>
      </c>
      <c r="N106" s="19" t="e">
        <f t="shared" si="33"/>
        <v>#DIV/0!</v>
      </c>
    </row>
    <row r="107" spans="1:14" s="27" customFormat="1" ht="57.75" customHeight="1" hidden="1">
      <c r="A107" s="83" t="s">
        <v>109</v>
      </c>
      <c r="B107" s="97">
        <v>14</v>
      </c>
      <c r="C107" s="98"/>
      <c r="D107" s="98"/>
      <c r="E107" s="98"/>
      <c r="F107" s="98"/>
      <c r="G107" s="98"/>
      <c r="H107" s="75">
        <f t="shared" si="29"/>
        <v>0</v>
      </c>
      <c r="I107" s="103">
        <f t="shared" si="30"/>
        <v>0</v>
      </c>
      <c r="J107" s="103">
        <f t="shared" si="31"/>
        <v>0</v>
      </c>
      <c r="K107" s="25"/>
      <c r="L107" s="25"/>
      <c r="M107" s="19" t="e">
        <f t="shared" si="32"/>
        <v>#DIV/0!</v>
      </c>
      <c r="N107" s="19" t="e">
        <f t="shared" si="33"/>
        <v>#DIV/0!</v>
      </c>
    </row>
    <row r="108" spans="1:14" s="27" customFormat="1" ht="60" customHeight="1" hidden="1">
      <c r="A108" s="83" t="s">
        <v>110</v>
      </c>
      <c r="B108" s="97">
        <v>26.68</v>
      </c>
      <c r="C108" s="98"/>
      <c r="D108" s="98"/>
      <c r="E108" s="98"/>
      <c r="F108" s="98"/>
      <c r="G108" s="98"/>
      <c r="H108" s="75">
        <f t="shared" si="29"/>
        <v>0</v>
      </c>
      <c r="I108" s="103">
        <f t="shared" si="30"/>
        <v>0</v>
      </c>
      <c r="J108" s="103">
        <f t="shared" si="31"/>
        <v>0</v>
      </c>
      <c r="K108" s="25"/>
      <c r="L108" s="25"/>
      <c r="M108" s="19" t="e">
        <f t="shared" si="32"/>
        <v>#DIV/0!</v>
      </c>
      <c r="N108" s="19" t="e">
        <f t="shared" si="33"/>
        <v>#DIV/0!</v>
      </c>
    </row>
    <row r="109" spans="1:14" s="27" customFormat="1" ht="19.5" customHeight="1" hidden="1">
      <c r="A109" s="83" t="s">
        <v>111</v>
      </c>
      <c r="B109" s="97">
        <v>84.63</v>
      </c>
      <c r="C109" s="98"/>
      <c r="D109" s="98"/>
      <c r="E109" s="98"/>
      <c r="F109" s="98"/>
      <c r="G109" s="98"/>
      <c r="H109" s="75">
        <f t="shared" si="29"/>
        <v>0</v>
      </c>
      <c r="I109" s="103">
        <f t="shared" si="30"/>
        <v>0</v>
      </c>
      <c r="J109" s="103">
        <f t="shared" si="31"/>
        <v>0</v>
      </c>
      <c r="K109" s="25"/>
      <c r="L109" s="25"/>
      <c r="M109" s="19" t="e">
        <f t="shared" si="32"/>
        <v>#DIV/0!</v>
      </c>
      <c r="N109" s="19" t="e">
        <f t="shared" si="33"/>
        <v>#DIV/0!</v>
      </c>
    </row>
    <row r="110" spans="1:14" s="27" customFormat="1" ht="43.5" customHeight="1" hidden="1">
      <c r="A110" s="83" t="s">
        <v>112</v>
      </c>
      <c r="B110" s="97">
        <v>3</v>
      </c>
      <c r="C110" s="98"/>
      <c r="D110" s="98"/>
      <c r="E110" s="98"/>
      <c r="F110" s="98"/>
      <c r="G110" s="98"/>
      <c r="H110" s="75">
        <f t="shared" si="29"/>
        <v>0</v>
      </c>
      <c r="I110" s="103">
        <f t="shared" si="30"/>
        <v>0</v>
      </c>
      <c r="J110" s="103">
        <f t="shared" si="31"/>
        <v>0</v>
      </c>
      <c r="K110" s="25"/>
      <c r="L110" s="25"/>
      <c r="M110" s="19" t="e">
        <f t="shared" si="32"/>
        <v>#DIV/0!</v>
      </c>
      <c r="N110" s="19" t="e">
        <f t="shared" si="33"/>
        <v>#DIV/0!</v>
      </c>
    </row>
    <row r="111" spans="1:14" s="27" customFormat="1" ht="43.5" customHeight="1" hidden="1">
      <c r="A111" s="83" t="s">
        <v>113</v>
      </c>
      <c r="B111" s="97">
        <v>236.28</v>
      </c>
      <c r="C111" s="98"/>
      <c r="D111" s="98"/>
      <c r="E111" s="98"/>
      <c r="F111" s="98"/>
      <c r="G111" s="98"/>
      <c r="H111" s="75">
        <f t="shared" si="29"/>
        <v>0</v>
      </c>
      <c r="I111" s="103">
        <f t="shared" si="30"/>
        <v>0</v>
      </c>
      <c r="J111" s="103">
        <f t="shared" si="31"/>
        <v>0</v>
      </c>
      <c r="K111" s="25"/>
      <c r="L111" s="25"/>
      <c r="M111" s="19" t="e">
        <f t="shared" si="32"/>
        <v>#DIV/0!</v>
      </c>
      <c r="N111" s="19" t="e">
        <f t="shared" si="33"/>
        <v>#DIV/0!</v>
      </c>
    </row>
    <row r="112" spans="1:14" s="27" customFormat="1" ht="30.75" customHeight="1" hidden="1">
      <c r="A112" s="83" t="s">
        <v>114</v>
      </c>
      <c r="B112" s="97">
        <v>3.52</v>
      </c>
      <c r="C112" s="98"/>
      <c r="D112" s="98"/>
      <c r="E112" s="98"/>
      <c r="F112" s="98"/>
      <c r="G112" s="98"/>
      <c r="H112" s="75">
        <f t="shared" si="26"/>
        <v>0</v>
      </c>
      <c r="I112" s="103">
        <f t="shared" si="12"/>
        <v>0</v>
      </c>
      <c r="J112" s="103">
        <f>G112/B112</f>
        <v>0</v>
      </c>
      <c r="K112" s="25"/>
      <c r="L112" s="25"/>
      <c r="M112" s="19" t="e">
        <f t="shared" si="27"/>
        <v>#DIV/0!</v>
      </c>
      <c r="N112" s="19" t="e">
        <f t="shared" si="28"/>
        <v>#DIV/0!</v>
      </c>
    </row>
    <row r="113" spans="1:14" s="27" customFormat="1" ht="27.75" customHeight="1" hidden="1">
      <c r="A113" s="83" t="s">
        <v>115</v>
      </c>
      <c r="B113" s="97">
        <v>63</v>
      </c>
      <c r="C113" s="98"/>
      <c r="D113" s="98"/>
      <c r="E113" s="98"/>
      <c r="F113" s="98"/>
      <c r="G113" s="98"/>
      <c r="H113" s="75">
        <f t="shared" si="26"/>
        <v>0</v>
      </c>
      <c r="I113" s="103">
        <f t="shared" si="12"/>
        <v>0</v>
      </c>
      <c r="J113" s="103">
        <f>G113/B113</f>
        <v>0</v>
      </c>
      <c r="K113" s="25"/>
      <c r="L113" s="25"/>
      <c r="M113" s="19" t="e">
        <f t="shared" si="27"/>
        <v>#DIV/0!</v>
      </c>
      <c r="N113" s="19" t="e">
        <f t="shared" si="28"/>
        <v>#DIV/0!</v>
      </c>
    </row>
    <row r="114" spans="1:14" s="27" customFormat="1" ht="21" customHeight="1" hidden="1">
      <c r="A114" s="83" t="s">
        <v>116</v>
      </c>
      <c r="B114" s="97">
        <v>5.88</v>
      </c>
      <c r="C114" s="98"/>
      <c r="D114" s="98"/>
      <c r="E114" s="98"/>
      <c r="F114" s="98"/>
      <c r="G114" s="98"/>
      <c r="H114" s="75">
        <f aca="true" t="shared" si="34" ref="H114:H127">G114-D114</f>
        <v>0</v>
      </c>
      <c r="I114" s="103">
        <f aca="true" t="shared" si="35" ref="I114:I119">F114/B114</f>
        <v>0</v>
      </c>
      <c r="J114" s="103">
        <f aca="true" t="shared" si="36" ref="J114:J119">G114/B114</f>
        <v>0</v>
      </c>
      <c r="K114" s="25"/>
      <c r="L114" s="25"/>
      <c r="M114" s="19" t="e">
        <f aca="true" t="shared" si="37" ref="M114:M127">K114/F114</f>
        <v>#DIV/0!</v>
      </c>
      <c r="N114" s="19" t="e">
        <f aca="true" t="shared" si="38" ref="N114:N127">L114/G114</f>
        <v>#DIV/0!</v>
      </c>
    </row>
    <row r="115" spans="1:14" s="27" customFormat="1" ht="30" customHeight="1" hidden="1">
      <c r="A115" s="83" t="s">
        <v>117</v>
      </c>
      <c r="B115" s="97">
        <v>186.01</v>
      </c>
      <c r="C115" s="98"/>
      <c r="D115" s="98"/>
      <c r="E115" s="98"/>
      <c r="F115" s="98"/>
      <c r="G115" s="98"/>
      <c r="H115" s="75">
        <f t="shared" si="34"/>
        <v>0</v>
      </c>
      <c r="I115" s="103">
        <f t="shared" si="35"/>
        <v>0</v>
      </c>
      <c r="J115" s="103">
        <f t="shared" si="36"/>
        <v>0</v>
      </c>
      <c r="K115" s="25"/>
      <c r="L115" s="25"/>
      <c r="M115" s="19" t="e">
        <f t="shared" si="37"/>
        <v>#DIV/0!</v>
      </c>
      <c r="N115" s="19" t="e">
        <f t="shared" si="38"/>
        <v>#DIV/0!</v>
      </c>
    </row>
    <row r="116" spans="1:14" s="27" customFormat="1" ht="28.5" customHeight="1" hidden="1">
      <c r="A116" s="83" t="s">
        <v>118</v>
      </c>
      <c r="B116" s="97">
        <v>311.07</v>
      </c>
      <c r="C116" s="98"/>
      <c r="D116" s="98"/>
      <c r="E116" s="98"/>
      <c r="F116" s="98"/>
      <c r="G116" s="98"/>
      <c r="H116" s="75">
        <f t="shared" si="34"/>
        <v>0</v>
      </c>
      <c r="I116" s="103">
        <f t="shared" si="35"/>
        <v>0</v>
      </c>
      <c r="J116" s="103">
        <f t="shared" si="36"/>
        <v>0</v>
      </c>
      <c r="K116" s="25"/>
      <c r="L116" s="25"/>
      <c r="M116" s="19" t="e">
        <f t="shared" si="37"/>
        <v>#DIV/0!</v>
      </c>
      <c r="N116" s="19" t="e">
        <f t="shared" si="38"/>
        <v>#DIV/0!</v>
      </c>
    </row>
    <row r="117" spans="1:14" s="27" customFormat="1" ht="30.75" customHeight="1" hidden="1">
      <c r="A117" s="83" t="s">
        <v>119</v>
      </c>
      <c r="B117" s="97">
        <v>4.56</v>
      </c>
      <c r="C117" s="98"/>
      <c r="D117" s="98"/>
      <c r="E117" s="98"/>
      <c r="F117" s="98"/>
      <c r="G117" s="98"/>
      <c r="H117" s="75">
        <f t="shared" si="34"/>
        <v>0</v>
      </c>
      <c r="I117" s="103">
        <f t="shared" si="35"/>
        <v>0</v>
      </c>
      <c r="J117" s="103">
        <f t="shared" si="36"/>
        <v>0</v>
      </c>
      <c r="K117" s="25"/>
      <c r="L117" s="25"/>
      <c r="M117" s="19" t="e">
        <f t="shared" si="37"/>
        <v>#DIV/0!</v>
      </c>
      <c r="N117" s="19" t="e">
        <f t="shared" si="38"/>
        <v>#DIV/0!</v>
      </c>
    </row>
    <row r="118" spans="1:14" s="27" customFormat="1" ht="27" customHeight="1" hidden="1">
      <c r="A118" s="83" t="s">
        <v>120</v>
      </c>
      <c r="B118" s="97">
        <v>121.78</v>
      </c>
      <c r="C118" s="98"/>
      <c r="D118" s="98"/>
      <c r="E118" s="98"/>
      <c r="F118" s="98"/>
      <c r="G118" s="98"/>
      <c r="H118" s="75">
        <f t="shared" si="34"/>
        <v>0</v>
      </c>
      <c r="I118" s="103">
        <f t="shared" si="35"/>
        <v>0</v>
      </c>
      <c r="J118" s="103">
        <f t="shared" si="36"/>
        <v>0</v>
      </c>
      <c r="K118" s="25"/>
      <c r="L118" s="25"/>
      <c r="M118" s="19" t="e">
        <f t="shared" si="37"/>
        <v>#DIV/0!</v>
      </c>
      <c r="N118" s="19" t="e">
        <f t="shared" si="38"/>
        <v>#DIV/0!</v>
      </c>
    </row>
    <row r="119" spans="1:14" s="27" customFormat="1" ht="27" customHeight="1" hidden="1">
      <c r="A119" s="83" t="s">
        <v>121</v>
      </c>
      <c r="B119" s="97">
        <v>3.37</v>
      </c>
      <c r="C119" s="98"/>
      <c r="D119" s="98"/>
      <c r="E119" s="98"/>
      <c r="F119" s="98"/>
      <c r="G119" s="98"/>
      <c r="H119" s="75">
        <f t="shared" si="34"/>
        <v>0</v>
      </c>
      <c r="I119" s="103">
        <f t="shared" si="35"/>
        <v>0</v>
      </c>
      <c r="J119" s="103">
        <f t="shared" si="36"/>
        <v>0</v>
      </c>
      <c r="K119" s="25"/>
      <c r="L119" s="25"/>
      <c r="M119" s="19" t="e">
        <f t="shared" si="37"/>
        <v>#DIV/0!</v>
      </c>
      <c r="N119" s="19" t="e">
        <f t="shared" si="38"/>
        <v>#DIV/0!</v>
      </c>
    </row>
    <row r="120" spans="1:14" s="27" customFormat="1" ht="33" customHeight="1" hidden="1">
      <c r="A120" s="83" t="s">
        <v>122</v>
      </c>
      <c r="B120" s="97">
        <v>8.1</v>
      </c>
      <c r="C120" s="98"/>
      <c r="D120" s="98"/>
      <c r="E120" s="98"/>
      <c r="F120" s="98"/>
      <c r="G120" s="98"/>
      <c r="H120" s="75">
        <f t="shared" si="34"/>
        <v>0</v>
      </c>
      <c r="I120" s="103">
        <f t="shared" si="12"/>
        <v>0</v>
      </c>
      <c r="J120" s="103">
        <f>G120/B120</f>
        <v>0</v>
      </c>
      <c r="K120" s="25"/>
      <c r="L120" s="25"/>
      <c r="M120" s="19" t="e">
        <f t="shared" si="37"/>
        <v>#DIV/0!</v>
      </c>
      <c r="N120" s="19" t="e">
        <f t="shared" si="38"/>
        <v>#DIV/0!</v>
      </c>
    </row>
    <row r="121" spans="1:37" ht="34.5" customHeight="1">
      <c r="A121" s="114" t="s">
        <v>50</v>
      </c>
      <c r="B121" s="115">
        <f>SUM(B123:B134)</f>
        <v>922.02</v>
      </c>
      <c r="C121" s="115">
        <f>SUM(C123:C134)</f>
        <v>879.6800000000001</v>
      </c>
      <c r="D121" s="115">
        <f>SUM(D123:D134)</f>
        <v>1008.59</v>
      </c>
      <c r="E121" s="115">
        <f>SUM(E123:E134)</f>
        <v>0</v>
      </c>
      <c r="F121" s="115">
        <f>SUM(F123:F134)</f>
        <v>0</v>
      </c>
      <c r="G121" s="115">
        <f>D121-E121</f>
        <v>1008.59</v>
      </c>
      <c r="H121" s="116">
        <f t="shared" si="34"/>
        <v>0</v>
      </c>
      <c r="I121" s="117">
        <f t="shared" si="12"/>
        <v>0</v>
      </c>
      <c r="J121" s="117">
        <f>G121/B121</f>
        <v>1.0938916726318302</v>
      </c>
      <c r="K121" s="30"/>
      <c r="L121" s="30">
        <f>SUM(L122:L134)</f>
        <v>1983.1</v>
      </c>
      <c r="M121" s="31" t="e">
        <f t="shared" si="37"/>
        <v>#DIV/0!</v>
      </c>
      <c r="N121" s="31">
        <f t="shared" si="38"/>
        <v>1.966210253918837</v>
      </c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</row>
    <row r="122" spans="1:37" ht="34.5" customHeight="1">
      <c r="A122" s="118" t="s">
        <v>51</v>
      </c>
      <c r="B122" s="72"/>
      <c r="C122" s="73"/>
      <c r="D122" s="73"/>
      <c r="E122" s="73"/>
      <c r="F122" s="98"/>
      <c r="G122" s="73"/>
      <c r="H122" s="75">
        <f t="shared" si="34"/>
        <v>0</v>
      </c>
      <c r="I122" s="103" t="e">
        <f t="shared" si="12"/>
        <v>#DIV/0!</v>
      </c>
      <c r="J122" s="103"/>
      <c r="K122" s="23"/>
      <c r="L122" s="23"/>
      <c r="M122" s="19" t="e">
        <f t="shared" si="37"/>
        <v>#DIV/0!</v>
      </c>
      <c r="N122" s="19" t="e">
        <f t="shared" si="38"/>
        <v>#DIV/0!</v>
      </c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</row>
    <row r="123" spans="1:16" s="27" customFormat="1" ht="83.25" customHeight="1">
      <c r="A123" s="83" t="s">
        <v>71</v>
      </c>
      <c r="B123" s="97">
        <v>214.43</v>
      </c>
      <c r="C123" s="98">
        <v>100</v>
      </c>
      <c r="D123" s="98">
        <v>94</v>
      </c>
      <c r="E123" s="98"/>
      <c r="F123" s="98"/>
      <c r="G123" s="98">
        <f>D123-E123</f>
        <v>94</v>
      </c>
      <c r="H123" s="75">
        <f t="shared" si="34"/>
        <v>0</v>
      </c>
      <c r="I123" s="103">
        <f>F123/B123</f>
        <v>0</v>
      </c>
      <c r="J123" s="103">
        <f>G123/B123</f>
        <v>0.4383714965256727</v>
      </c>
      <c r="K123" s="25"/>
      <c r="L123" s="25">
        <v>100</v>
      </c>
      <c r="M123" s="19" t="e">
        <f t="shared" si="37"/>
        <v>#DIV/0!</v>
      </c>
      <c r="N123" s="19">
        <f t="shared" si="38"/>
        <v>1.0638297872340425</v>
      </c>
      <c r="P123" s="27">
        <v>100</v>
      </c>
    </row>
    <row r="124" spans="1:14" s="27" customFormat="1" ht="49.5" customHeight="1">
      <c r="A124" s="83" t="s">
        <v>72</v>
      </c>
      <c r="B124" s="97">
        <v>105.05</v>
      </c>
      <c r="C124" s="98">
        <v>98.95</v>
      </c>
      <c r="D124" s="98">
        <v>148.31</v>
      </c>
      <c r="E124" s="98"/>
      <c r="F124" s="98"/>
      <c r="G124" s="98">
        <f aca="true" t="shared" si="39" ref="G124:G135">D124-E124</f>
        <v>148.31</v>
      </c>
      <c r="H124" s="75">
        <f t="shared" si="34"/>
        <v>0</v>
      </c>
      <c r="I124" s="103">
        <f>F124/B124</f>
        <v>0</v>
      </c>
      <c r="J124" s="103">
        <f>G124/B124</f>
        <v>1.4118039029033793</v>
      </c>
      <c r="K124" s="25"/>
      <c r="L124" s="25">
        <v>155.5</v>
      </c>
      <c r="M124" s="19" t="e">
        <f t="shared" si="37"/>
        <v>#DIV/0!</v>
      </c>
      <c r="N124" s="19">
        <f t="shared" si="38"/>
        <v>1.0484795361068033</v>
      </c>
    </row>
    <row r="125" spans="1:14" s="27" customFormat="1" ht="79.5" customHeight="1">
      <c r="A125" s="83" t="s">
        <v>123</v>
      </c>
      <c r="B125" s="97">
        <v>173.15</v>
      </c>
      <c r="C125" s="98">
        <v>200</v>
      </c>
      <c r="D125" s="98">
        <v>250</v>
      </c>
      <c r="E125" s="98"/>
      <c r="F125" s="98"/>
      <c r="G125" s="98">
        <f t="shared" si="39"/>
        <v>250</v>
      </c>
      <c r="H125" s="75">
        <f t="shared" si="34"/>
        <v>0</v>
      </c>
      <c r="I125" s="103">
        <f>F125/B125</f>
        <v>0</v>
      </c>
      <c r="J125" s="103">
        <f>G125/B125</f>
        <v>1.443834825295986</v>
      </c>
      <c r="K125" s="25"/>
      <c r="L125" s="25">
        <v>200</v>
      </c>
      <c r="M125" s="19" t="e">
        <f t="shared" si="37"/>
        <v>#DIV/0!</v>
      </c>
      <c r="N125" s="19">
        <f t="shared" si="38"/>
        <v>0.8</v>
      </c>
    </row>
    <row r="126" spans="1:14" s="27" customFormat="1" ht="69.75" customHeight="1">
      <c r="A126" s="83" t="s">
        <v>73</v>
      </c>
      <c r="B126" s="97">
        <v>245.39</v>
      </c>
      <c r="C126" s="98">
        <v>411.3</v>
      </c>
      <c r="D126" s="98">
        <v>411.18</v>
      </c>
      <c r="E126" s="98"/>
      <c r="F126" s="98"/>
      <c r="G126" s="98">
        <f t="shared" si="39"/>
        <v>411.18</v>
      </c>
      <c r="H126" s="75">
        <f t="shared" si="34"/>
        <v>0</v>
      </c>
      <c r="I126" s="103">
        <f>F126/B126</f>
        <v>0</v>
      </c>
      <c r="J126" s="103">
        <f>G126/B126</f>
        <v>1.6756184033579202</v>
      </c>
      <c r="K126" s="25"/>
      <c r="L126" s="25"/>
      <c r="M126" s="19" t="e">
        <f t="shared" si="37"/>
        <v>#DIV/0!</v>
      </c>
      <c r="N126" s="19">
        <f t="shared" si="38"/>
        <v>0</v>
      </c>
    </row>
    <row r="127" spans="1:14" s="27" customFormat="1" ht="82.5" customHeight="1" hidden="1">
      <c r="A127" s="83" t="s">
        <v>141</v>
      </c>
      <c r="B127" s="111"/>
      <c r="C127" s="112"/>
      <c r="D127" s="112"/>
      <c r="E127" s="98"/>
      <c r="F127" s="98"/>
      <c r="G127" s="98">
        <f t="shared" si="39"/>
        <v>0</v>
      </c>
      <c r="H127" s="75">
        <f t="shared" si="34"/>
        <v>0</v>
      </c>
      <c r="I127" s="103" t="e">
        <f t="shared" si="12"/>
        <v>#DIV/0!</v>
      </c>
      <c r="J127" s="103" t="e">
        <f>G127/B127</f>
        <v>#DIV/0!</v>
      </c>
      <c r="K127" s="25"/>
      <c r="L127" s="25"/>
      <c r="M127" s="19" t="e">
        <f t="shared" si="37"/>
        <v>#DIV/0!</v>
      </c>
      <c r="N127" s="19" t="e">
        <f t="shared" si="38"/>
        <v>#DIV/0!</v>
      </c>
    </row>
    <row r="128" spans="1:14" s="27" customFormat="1" ht="56.25" customHeight="1">
      <c r="A128" s="83" t="s">
        <v>74</v>
      </c>
      <c r="B128" s="97">
        <v>152.37</v>
      </c>
      <c r="C128" s="98">
        <v>0</v>
      </c>
      <c r="D128" s="98">
        <v>0</v>
      </c>
      <c r="E128" s="98"/>
      <c r="F128" s="98"/>
      <c r="G128" s="98">
        <f t="shared" si="39"/>
        <v>0</v>
      </c>
      <c r="H128" s="75">
        <f aca="true" t="shared" si="40" ref="H128:H134">G128-D128</f>
        <v>0</v>
      </c>
      <c r="I128" s="103">
        <f aca="true" t="shared" si="41" ref="I128:I134">F128/B128</f>
        <v>0</v>
      </c>
      <c r="J128" s="103">
        <f>G128/B128</f>
        <v>0</v>
      </c>
      <c r="K128" s="25"/>
      <c r="L128" s="25"/>
      <c r="M128" s="19" t="e">
        <f aca="true" t="shared" si="42" ref="M128:M134">K128/F128</f>
        <v>#DIV/0!</v>
      </c>
      <c r="N128" s="19" t="e">
        <f aca="true" t="shared" si="43" ref="N128:N134">L128/G128</f>
        <v>#DIV/0!</v>
      </c>
    </row>
    <row r="129" spans="1:14" s="27" customFormat="1" ht="83.25" customHeight="1">
      <c r="A129" s="83" t="s">
        <v>75</v>
      </c>
      <c r="B129" s="97">
        <v>31.63</v>
      </c>
      <c r="C129" s="98">
        <v>63.48</v>
      </c>
      <c r="D129" s="108">
        <v>63.48</v>
      </c>
      <c r="E129" s="98"/>
      <c r="F129" s="98"/>
      <c r="G129" s="98">
        <f t="shared" si="39"/>
        <v>63.48</v>
      </c>
      <c r="H129" s="75">
        <f t="shared" si="40"/>
        <v>0</v>
      </c>
      <c r="I129" s="103">
        <f t="shared" si="41"/>
        <v>0</v>
      </c>
      <c r="J129" s="103">
        <f>G129/B129</f>
        <v>2.0069554220676573</v>
      </c>
      <c r="K129" s="25"/>
      <c r="L129" s="25">
        <v>81.6</v>
      </c>
      <c r="M129" s="19" t="e">
        <f t="shared" si="42"/>
        <v>#DIV/0!</v>
      </c>
      <c r="N129" s="19">
        <f t="shared" si="43"/>
        <v>1.285444234404537</v>
      </c>
    </row>
    <row r="130" spans="1:16" s="27" customFormat="1" ht="83.25" customHeight="1">
      <c r="A130" s="83" t="s">
        <v>124</v>
      </c>
      <c r="B130" s="97">
        <v>0</v>
      </c>
      <c r="C130" s="98">
        <v>5.95</v>
      </c>
      <c r="D130" s="98">
        <v>22</v>
      </c>
      <c r="E130" s="98"/>
      <c r="F130" s="98"/>
      <c r="G130" s="98">
        <f t="shared" si="39"/>
        <v>22</v>
      </c>
      <c r="H130" s="75">
        <f t="shared" si="40"/>
        <v>0</v>
      </c>
      <c r="I130" s="103" t="e">
        <f t="shared" si="41"/>
        <v>#DIV/0!</v>
      </c>
      <c r="J130" s="103"/>
      <c r="K130" s="25"/>
      <c r="L130" s="25">
        <v>20</v>
      </c>
      <c r="M130" s="19" t="e">
        <f t="shared" si="42"/>
        <v>#DIV/0!</v>
      </c>
      <c r="N130" s="19">
        <f t="shared" si="43"/>
        <v>0.9090909090909091</v>
      </c>
      <c r="P130" s="27">
        <v>20</v>
      </c>
    </row>
    <row r="131" spans="1:14" s="27" customFormat="1" ht="45.75" customHeight="1">
      <c r="A131" s="83" t="s">
        <v>125</v>
      </c>
      <c r="B131" s="97">
        <v>0</v>
      </c>
      <c r="C131" s="98">
        <v>0</v>
      </c>
      <c r="D131" s="98">
        <v>0.16</v>
      </c>
      <c r="E131" s="98"/>
      <c r="F131" s="98"/>
      <c r="G131" s="98">
        <f t="shared" si="39"/>
        <v>0.16</v>
      </c>
      <c r="H131" s="75">
        <f>G131-D131</f>
        <v>0</v>
      </c>
      <c r="I131" s="103" t="e">
        <f>F131/B131</f>
        <v>#DIV/0!</v>
      </c>
      <c r="J131" s="103"/>
      <c r="K131" s="25"/>
      <c r="L131" s="25"/>
      <c r="M131" s="19" t="e">
        <f>K131/F131</f>
        <v>#DIV/0!</v>
      </c>
      <c r="N131" s="19">
        <f>L131/G131</f>
        <v>0</v>
      </c>
    </row>
    <row r="132" spans="1:14" s="27" customFormat="1" ht="45.75" customHeight="1">
      <c r="A132" s="83" t="s">
        <v>126</v>
      </c>
      <c r="B132" s="97">
        <v>0</v>
      </c>
      <c r="C132" s="98">
        <v>0</v>
      </c>
      <c r="D132" s="98">
        <v>0.12</v>
      </c>
      <c r="E132" s="98"/>
      <c r="F132" s="98"/>
      <c r="G132" s="98">
        <f t="shared" si="39"/>
        <v>0.12</v>
      </c>
      <c r="H132" s="75">
        <f t="shared" si="40"/>
        <v>0</v>
      </c>
      <c r="I132" s="103" t="e">
        <f t="shared" si="41"/>
        <v>#DIV/0!</v>
      </c>
      <c r="J132" s="103"/>
      <c r="K132" s="25"/>
      <c r="L132" s="25"/>
      <c r="M132" s="19" t="e">
        <f t="shared" si="42"/>
        <v>#DIV/0!</v>
      </c>
      <c r="N132" s="19">
        <f t="shared" si="43"/>
        <v>0</v>
      </c>
    </row>
    <row r="133" spans="1:14" s="27" customFormat="1" ht="69" customHeight="1">
      <c r="A133" s="83" t="s">
        <v>127</v>
      </c>
      <c r="B133" s="97">
        <v>0</v>
      </c>
      <c r="C133" s="98">
        <v>0</v>
      </c>
      <c r="D133" s="98">
        <v>1.84</v>
      </c>
      <c r="E133" s="98"/>
      <c r="F133" s="98"/>
      <c r="G133" s="98">
        <f t="shared" si="39"/>
        <v>1.84</v>
      </c>
      <c r="H133" s="75">
        <f>G133-D133</f>
        <v>0</v>
      </c>
      <c r="I133" s="103" t="e">
        <f>F133/B133</f>
        <v>#DIV/0!</v>
      </c>
      <c r="J133" s="103"/>
      <c r="K133" s="25"/>
      <c r="L133" s="25"/>
      <c r="M133" s="19" t="e">
        <f>K133/F133</f>
        <v>#DIV/0!</v>
      </c>
      <c r="N133" s="19">
        <f>L133/G133</f>
        <v>0</v>
      </c>
    </row>
    <row r="134" spans="1:16" s="27" customFormat="1" ht="99" customHeight="1">
      <c r="A134" s="83" t="s">
        <v>128</v>
      </c>
      <c r="B134" s="97">
        <v>0</v>
      </c>
      <c r="C134" s="98">
        <v>0</v>
      </c>
      <c r="D134" s="98">
        <v>17.5</v>
      </c>
      <c r="E134" s="98"/>
      <c r="F134" s="98"/>
      <c r="G134" s="98">
        <f t="shared" si="39"/>
        <v>17.5</v>
      </c>
      <c r="H134" s="75">
        <f t="shared" si="40"/>
        <v>0</v>
      </c>
      <c r="I134" s="103" t="e">
        <f t="shared" si="41"/>
        <v>#DIV/0!</v>
      </c>
      <c r="J134" s="103"/>
      <c r="K134" s="25"/>
      <c r="L134" s="25">
        <v>1426</v>
      </c>
      <c r="M134" s="19" t="e">
        <f t="shared" si="42"/>
        <v>#DIV/0!</v>
      </c>
      <c r="N134" s="19">
        <f t="shared" si="43"/>
        <v>81.48571428571428</v>
      </c>
      <c r="P134" s="27">
        <v>1426</v>
      </c>
    </row>
    <row r="135" spans="1:37" ht="34.5" customHeight="1">
      <c r="A135" s="114" t="s">
        <v>70</v>
      </c>
      <c r="B135" s="115">
        <f>209.47+3634.089+1861.856+32.691+60</f>
        <v>5798.106</v>
      </c>
      <c r="C135" s="119">
        <f>210.87+3942.63+1189</f>
        <v>5342.5</v>
      </c>
      <c r="D135" s="119">
        <f>4194.74+1109+210.87</f>
        <v>5514.61</v>
      </c>
      <c r="E135" s="119"/>
      <c r="F135" s="120"/>
      <c r="G135" s="119">
        <f t="shared" si="39"/>
        <v>5514.61</v>
      </c>
      <c r="H135" s="116">
        <f>G135-D135</f>
        <v>0</v>
      </c>
      <c r="I135" s="117">
        <f t="shared" si="12"/>
        <v>0</v>
      </c>
      <c r="J135" s="117">
        <f>G135/B135</f>
        <v>0.9511054126985605</v>
      </c>
      <c r="K135" s="30"/>
      <c r="L135" s="56">
        <v>5258.61</v>
      </c>
      <c r="M135" s="31" t="e">
        <f>K135/F135</f>
        <v>#DIV/0!</v>
      </c>
      <c r="N135" s="31">
        <f>L135/G135</f>
        <v>0.9535778595403845</v>
      </c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</row>
    <row r="136" spans="1:37" ht="22.5" customHeight="1">
      <c r="A136" s="62" t="s">
        <v>4</v>
      </c>
      <c r="B136" s="144">
        <f>B8-B41</f>
        <v>3051.540000000008</v>
      </c>
      <c r="C136" s="144">
        <f>C8-C47</f>
        <v>750.0000000000146</v>
      </c>
      <c r="D136" s="144">
        <f>D8-D41</f>
        <v>-3361.6779999999853</v>
      </c>
      <c r="E136" s="144"/>
      <c r="F136" s="144">
        <f>F8-F47</f>
        <v>0</v>
      </c>
      <c r="G136" s="144">
        <f>G8-G41</f>
        <v>-1238.847999999969</v>
      </c>
      <c r="H136" s="144"/>
      <c r="I136" s="63"/>
      <c r="J136" s="117">
        <f>G136/B136</f>
        <v>-0.40597468819021404</v>
      </c>
      <c r="K136" s="11">
        <f>K8-K47</f>
        <v>0</v>
      </c>
      <c r="L136" s="11">
        <f>L8-L47</f>
        <v>-26395.690000000002</v>
      </c>
      <c r="M136" s="33"/>
      <c r="N136" s="33"/>
      <c r="O136" s="34"/>
      <c r="P136" s="34"/>
      <c r="Q136" s="34"/>
      <c r="R136" s="34"/>
      <c r="S136" s="34"/>
      <c r="T136" s="34"/>
      <c r="U136" s="34"/>
      <c r="V136" s="34"/>
      <c r="W136" s="34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</row>
    <row r="137" spans="1:14" s="36" customFormat="1" ht="17.25" customHeight="1">
      <c r="A137" s="103" t="s">
        <v>16</v>
      </c>
      <c r="B137" s="98">
        <f>(B136-B139)/(B9-B25)</f>
        <v>0.19232157864785376</v>
      </c>
      <c r="C137" s="98">
        <f>(C136-C139)/(C9-C25)</f>
        <v>0.03302538991977096</v>
      </c>
      <c r="D137" s="98">
        <f>(D136-D139)/(D9-D25)</f>
        <v>-0.34008912451892886</v>
      </c>
      <c r="E137" s="74" t="s">
        <v>1</v>
      </c>
      <c r="F137" s="98" t="e">
        <f>(F136-F139)/(F9-F25)</f>
        <v>#DIV/0!</v>
      </c>
      <c r="G137" s="98">
        <f>(G136-G139)/(G9-G25)</f>
        <v>-0.15313635522989802</v>
      </c>
      <c r="H137" s="98"/>
      <c r="I137" s="98"/>
      <c r="J137" s="98"/>
      <c r="K137" s="23" t="e">
        <f>(K136-K139)/(K9-K25)</f>
        <v>#DIV/0!</v>
      </c>
      <c r="L137" s="23">
        <f>(L136-L139)/(L9-L25)</f>
        <v>-1.164411280752756</v>
      </c>
      <c r="M137" s="35"/>
      <c r="N137" s="35"/>
    </row>
    <row r="138" spans="1:14" ht="24" customHeight="1">
      <c r="A138" s="62" t="s">
        <v>17</v>
      </c>
      <c r="B138" s="144">
        <f>-B136</f>
        <v>-3051.540000000008</v>
      </c>
      <c r="C138" s="121">
        <f>SUM(C139:C144)-C140</f>
        <v>-1000</v>
      </c>
      <c r="D138" s="144">
        <f>-D136</f>
        <v>3361.6779999999853</v>
      </c>
      <c r="E138" s="63"/>
      <c r="F138" s="63">
        <f>F139+F142+F143+F144</f>
        <v>0</v>
      </c>
      <c r="G138" s="144">
        <f>-G136</f>
        <v>1238.847999999969</v>
      </c>
      <c r="H138" s="63"/>
      <c r="I138" s="63"/>
      <c r="J138" s="117">
        <f>G138/B138</f>
        <v>-0.40597468819021404</v>
      </c>
      <c r="K138" s="11">
        <f>K139+K142+K143+K144</f>
        <v>0</v>
      </c>
      <c r="L138" s="11">
        <f>L139+L142+L143+L144</f>
        <v>0</v>
      </c>
      <c r="M138" s="33"/>
      <c r="N138" s="37"/>
    </row>
    <row r="139" spans="1:14" ht="17.25" customHeight="1">
      <c r="A139" s="71" t="s">
        <v>18</v>
      </c>
      <c r="B139" s="82">
        <f>B138-B142</f>
        <v>-2051.540000000008</v>
      </c>
      <c r="C139" s="78"/>
      <c r="D139" s="82">
        <f>D138-D142</f>
        <v>4361.677999999985</v>
      </c>
      <c r="E139" s="78"/>
      <c r="F139" s="78"/>
      <c r="G139" s="82">
        <f>G138-G142</f>
        <v>2238.847999999969</v>
      </c>
      <c r="H139" s="78"/>
      <c r="I139" s="78"/>
      <c r="J139" s="78"/>
      <c r="K139" s="49"/>
      <c r="L139" s="49"/>
      <c r="M139" s="38"/>
      <c r="N139" s="38"/>
    </row>
    <row r="140" spans="1:14" ht="30" customHeight="1">
      <c r="A140" s="71" t="s">
        <v>151</v>
      </c>
      <c r="B140" s="72"/>
      <c r="C140" s="73"/>
      <c r="D140" s="73"/>
      <c r="E140" s="73"/>
      <c r="F140" s="73"/>
      <c r="G140" s="73"/>
      <c r="H140" s="73"/>
      <c r="I140" s="73"/>
      <c r="J140" s="73"/>
      <c r="K140" s="18"/>
      <c r="L140" s="18"/>
      <c r="M140" s="38"/>
      <c r="N140" s="38"/>
    </row>
    <row r="141" spans="1:14" ht="36" customHeight="1">
      <c r="A141" s="71" t="s">
        <v>19</v>
      </c>
      <c r="B141" s="72"/>
      <c r="C141" s="73"/>
      <c r="D141" s="73"/>
      <c r="E141" s="73"/>
      <c r="F141" s="73"/>
      <c r="G141" s="73"/>
      <c r="H141" s="73"/>
      <c r="I141" s="73"/>
      <c r="J141" s="73"/>
      <c r="K141" s="18"/>
      <c r="L141" s="18"/>
      <c r="M141" s="38"/>
      <c r="N141" s="38"/>
    </row>
    <row r="142" spans="1:14" ht="14.25" customHeight="1">
      <c r="A142" s="122" t="s">
        <v>20</v>
      </c>
      <c r="B142" s="123">
        <v>-1000</v>
      </c>
      <c r="C142" s="124">
        <v>-1000</v>
      </c>
      <c r="D142" s="124">
        <v>-1000</v>
      </c>
      <c r="E142" s="124"/>
      <c r="F142" s="73"/>
      <c r="G142" s="124">
        <v>-1000</v>
      </c>
      <c r="H142" s="124"/>
      <c r="I142" s="73"/>
      <c r="J142" s="158">
        <f>G142/B142</f>
        <v>1</v>
      </c>
      <c r="K142" s="18"/>
      <c r="L142" s="18">
        <v>0</v>
      </c>
      <c r="M142" s="38"/>
      <c r="N142" s="38"/>
    </row>
    <row r="143" spans="1:14" ht="14.25" customHeight="1">
      <c r="A143" s="122" t="s">
        <v>21</v>
      </c>
      <c r="B143" s="123"/>
      <c r="C143" s="124"/>
      <c r="D143" s="124"/>
      <c r="E143" s="124"/>
      <c r="F143" s="73"/>
      <c r="G143" s="73"/>
      <c r="H143" s="73"/>
      <c r="I143" s="73"/>
      <c r="J143" s="73"/>
      <c r="K143" s="18"/>
      <c r="L143" s="18"/>
      <c r="M143" s="38"/>
      <c r="N143" s="38"/>
    </row>
    <row r="144" spans="1:14" ht="14.25" customHeight="1">
      <c r="A144" s="122" t="s">
        <v>22</v>
      </c>
      <c r="B144" s="123"/>
      <c r="C144" s="124"/>
      <c r="D144" s="124"/>
      <c r="E144" s="124"/>
      <c r="F144" s="73"/>
      <c r="G144" s="73"/>
      <c r="H144" s="73"/>
      <c r="I144" s="73"/>
      <c r="J144" s="73"/>
      <c r="K144" s="18"/>
      <c r="L144" s="18"/>
      <c r="M144" s="38"/>
      <c r="N144" s="38"/>
    </row>
    <row r="145" spans="1:14" ht="27" customHeight="1">
      <c r="A145" s="122" t="s">
        <v>23</v>
      </c>
      <c r="B145" s="125"/>
      <c r="C145" s="124"/>
      <c r="D145" s="126"/>
      <c r="E145" s="126"/>
      <c r="F145" s="126"/>
      <c r="G145" s="126"/>
      <c r="H145" s="126"/>
      <c r="I145" s="73"/>
      <c r="J145" s="73"/>
      <c r="K145" s="18"/>
      <c r="L145" s="18">
        <f>-L136*1</f>
        <v>26395.690000000002</v>
      </c>
      <c r="M145" s="38"/>
      <c r="N145" s="38"/>
    </row>
    <row r="146" spans="1:14" ht="15" customHeight="1">
      <c r="A146" s="62" t="s">
        <v>24</v>
      </c>
      <c r="B146" s="114">
        <v>1000</v>
      </c>
      <c r="C146" s="64">
        <v>1000</v>
      </c>
      <c r="D146" s="63">
        <v>1000</v>
      </c>
      <c r="E146" s="63"/>
      <c r="F146" s="64"/>
      <c r="G146" s="63">
        <v>0</v>
      </c>
      <c r="H146" s="63"/>
      <c r="I146" s="64"/>
      <c r="J146" s="117">
        <f aca="true" t="shared" si="44" ref="J146:J153">G146/B146</f>
        <v>0</v>
      </c>
      <c r="K146" s="11"/>
      <c r="L146" s="11">
        <v>0</v>
      </c>
      <c r="M146" s="33"/>
      <c r="N146" s="37"/>
    </row>
    <row r="147" spans="1:14" s="27" customFormat="1" ht="15" customHeight="1">
      <c r="A147" s="127" t="s">
        <v>12</v>
      </c>
      <c r="B147" s="128"/>
      <c r="C147" s="129"/>
      <c r="D147" s="130"/>
      <c r="E147" s="130"/>
      <c r="F147" s="129"/>
      <c r="G147" s="130"/>
      <c r="H147" s="130"/>
      <c r="I147" s="129"/>
      <c r="J147" s="117"/>
      <c r="K147" s="39"/>
      <c r="L147" s="39"/>
      <c r="M147" s="40"/>
      <c r="N147" s="41"/>
    </row>
    <row r="148" spans="1:14" ht="32.25" customHeight="1">
      <c r="A148" s="62" t="s">
        <v>67</v>
      </c>
      <c r="B148" s="114">
        <v>3.281</v>
      </c>
      <c r="C148" s="64">
        <v>3.281</v>
      </c>
      <c r="D148" s="64">
        <v>3.244</v>
      </c>
      <c r="E148" s="64"/>
      <c r="F148" s="64"/>
      <c r="G148" s="64">
        <v>3.244</v>
      </c>
      <c r="H148" s="64"/>
      <c r="I148" s="64"/>
      <c r="J148" s="117">
        <f t="shared" si="44"/>
        <v>0.9887229503200244</v>
      </c>
      <c r="K148" s="11"/>
      <c r="L148" s="12">
        <v>3.244</v>
      </c>
      <c r="M148" s="33"/>
      <c r="N148" s="37"/>
    </row>
    <row r="149" spans="1:14" ht="15" customHeight="1">
      <c r="A149" s="62" t="s">
        <v>25</v>
      </c>
      <c r="B149" s="114">
        <f aca="true" t="shared" si="45" ref="B149:G149">B8/B148</f>
        <v>45587.122828405976</v>
      </c>
      <c r="C149" s="114">
        <f t="shared" si="45"/>
        <v>23017.311795184396</v>
      </c>
      <c r="D149" s="114">
        <f t="shared" si="45"/>
        <v>47403.69913686806</v>
      </c>
      <c r="E149" s="114" t="e">
        <f t="shared" si="45"/>
        <v>#VALUE!</v>
      </c>
      <c r="F149" s="114" t="e">
        <f t="shared" si="45"/>
        <v>#DIV/0!</v>
      </c>
      <c r="G149" s="114">
        <f t="shared" si="45"/>
        <v>47403.69913686806</v>
      </c>
      <c r="H149" s="114"/>
      <c r="I149" s="114"/>
      <c r="J149" s="117">
        <f t="shared" si="44"/>
        <v>1.0398484527154706</v>
      </c>
      <c r="K149" s="29" t="e">
        <f>K8/K148</f>
        <v>#DIV/0!</v>
      </c>
      <c r="L149" s="29">
        <f>L8/L148</f>
        <v>18006.935881627618</v>
      </c>
      <c r="M149" s="29"/>
      <c r="N149" s="29"/>
    </row>
    <row r="150" spans="1:14" ht="15" customHeight="1">
      <c r="A150" s="62" t="s">
        <v>26</v>
      </c>
      <c r="B150" s="114">
        <f aca="true" t="shared" si="46" ref="B150:G150">B47/B148</f>
        <v>22685.909783602565</v>
      </c>
      <c r="C150" s="114">
        <f t="shared" si="46"/>
        <v>22788.72295032002</v>
      </c>
      <c r="D150" s="114">
        <f t="shared" si="46"/>
        <v>24860.905672009863</v>
      </c>
      <c r="E150" s="114" t="e">
        <f t="shared" si="46"/>
        <v>#DIV/0!</v>
      </c>
      <c r="F150" s="114" t="e">
        <f t="shared" si="46"/>
        <v>#DIV/0!</v>
      </c>
      <c r="G150" s="114">
        <f t="shared" si="46"/>
        <v>24206.51911220715</v>
      </c>
      <c r="H150" s="114"/>
      <c r="I150" s="114"/>
      <c r="J150" s="117">
        <f t="shared" si="44"/>
        <v>1.0670288008331799</v>
      </c>
      <c r="K150" s="29" t="e">
        <f>K47/K148</f>
        <v>#DIV/0!</v>
      </c>
      <c r="L150" s="29">
        <f>L47/L148</f>
        <v>26143.708384710233</v>
      </c>
      <c r="M150" s="29"/>
      <c r="N150" s="29"/>
    </row>
    <row r="151" spans="1:14" ht="45.75" customHeight="1">
      <c r="A151" s="62" t="s">
        <v>27</v>
      </c>
      <c r="B151" s="114">
        <v>69</v>
      </c>
      <c r="C151" s="131">
        <v>69</v>
      </c>
      <c r="D151" s="132">
        <v>69</v>
      </c>
      <c r="E151" s="132"/>
      <c r="F151" s="132"/>
      <c r="G151" s="132">
        <v>69</v>
      </c>
      <c r="H151" s="132"/>
      <c r="I151" s="133"/>
      <c r="J151" s="117">
        <f t="shared" si="44"/>
        <v>1</v>
      </c>
      <c r="K151" s="42"/>
      <c r="L151" s="42">
        <v>69</v>
      </c>
      <c r="M151" s="33"/>
      <c r="N151" s="37"/>
    </row>
    <row r="152" spans="1:14" ht="31.5" customHeight="1">
      <c r="A152" s="62" t="s">
        <v>28</v>
      </c>
      <c r="B152" s="134">
        <v>37</v>
      </c>
      <c r="C152" s="131">
        <v>37</v>
      </c>
      <c r="D152" s="132">
        <v>37</v>
      </c>
      <c r="E152" s="135"/>
      <c r="F152" s="132"/>
      <c r="G152" s="132">
        <v>37</v>
      </c>
      <c r="H152" s="135"/>
      <c r="I152" s="133"/>
      <c r="J152" s="117">
        <f t="shared" si="44"/>
        <v>1</v>
      </c>
      <c r="K152" s="37"/>
      <c r="L152" s="42">
        <v>37</v>
      </c>
      <c r="M152" s="33"/>
      <c r="N152" s="37"/>
    </row>
    <row r="153" spans="1:14" ht="32.25" customHeight="1">
      <c r="A153" s="62" t="s">
        <v>29</v>
      </c>
      <c r="B153" s="134">
        <v>10</v>
      </c>
      <c r="C153" s="131">
        <v>10</v>
      </c>
      <c r="D153" s="131">
        <v>10</v>
      </c>
      <c r="E153" s="131"/>
      <c r="F153" s="131"/>
      <c r="G153" s="131">
        <v>10</v>
      </c>
      <c r="H153" s="131"/>
      <c r="I153" s="133"/>
      <c r="J153" s="117">
        <f t="shared" si="44"/>
        <v>1</v>
      </c>
      <c r="K153" s="37"/>
      <c r="L153" s="42">
        <v>10</v>
      </c>
      <c r="M153" s="33"/>
      <c r="N153" s="37"/>
    </row>
    <row r="154" spans="1:14" ht="15">
      <c r="A154" s="136" t="s">
        <v>152</v>
      </c>
      <c r="B154" s="46"/>
      <c r="C154" s="46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</row>
    <row r="155" spans="2:5" ht="19.5" customHeight="1">
      <c r="B155" s="54"/>
      <c r="C155" s="54"/>
      <c r="D155" s="54"/>
      <c r="E155" s="54"/>
    </row>
    <row r="156" spans="1:10" s="3" customFormat="1" ht="27.75" customHeight="1">
      <c r="A156" s="137" t="s">
        <v>0</v>
      </c>
      <c r="B156" s="138"/>
      <c r="C156" s="139"/>
      <c r="D156" s="175" t="s">
        <v>142</v>
      </c>
      <c r="E156" s="175"/>
      <c r="F156" s="140"/>
      <c r="G156" s="140"/>
      <c r="H156" s="140"/>
      <c r="I156" s="140"/>
      <c r="J156" s="140"/>
    </row>
    <row r="157" spans="1:10" s="3" customFormat="1" ht="27.75" customHeight="1">
      <c r="A157" s="139" t="s">
        <v>144</v>
      </c>
      <c r="B157" s="176" t="s">
        <v>143</v>
      </c>
      <c r="C157" s="176"/>
      <c r="D157" s="176"/>
      <c r="E157" s="176"/>
      <c r="F157" s="139"/>
      <c r="G157" s="139"/>
      <c r="H157" s="140"/>
      <c r="I157" s="140"/>
      <c r="J157" s="140"/>
    </row>
    <row r="158" spans="1:10" s="3" customFormat="1" ht="12" customHeight="1">
      <c r="A158" s="140"/>
      <c r="B158" s="140"/>
      <c r="C158" s="140"/>
      <c r="D158" s="140"/>
      <c r="E158" s="140"/>
      <c r="F158" s="140"/>
      <c r="G158" s="140"/>
      <c r="H158" s="140"/>
      <c r="I158" s="140"/>
      <c r="J158" s="140"/>
    </row>
    <row r="159" spans="6:14" ht="15" customHeight="1">
      <c r="F159" s="43"/>
      <c r="G159" s="43"/>
      <c r="H159" s="43"/>
      <c r="I159" s="43"/>
      <c r="J159" s="43"/>
      <c r="K159" s="43"/>
      <c r="L159" s="43"/>
      <c r="M159" s="43"/>
      <c r="N159" s="43"/>
    </row>
  </sheetData>
  <sheetProtection/>
  <mergeCells count="15">
    <mergeCell ref="L1:N1"/>
    <mergeCell ref="J5:J6"/>
    <mergeCell ref="K5:L5"/>
    <mergeCell ref="D156:E156"/>
    <mergeCell ref="B157:E157"/>
    <mergeCell ref="M5:N5"/>
    <mergeCell ref="A3:N3"/>
    <mergeCell ref="A5:A6"/>
    <mergeCell ref="B5:B6"/>
    <mergeCell ref="C5:C6"/>
    <mergeCell ref="D5:D6"/>
    <mergeCell ref="E5:E6"/>
    <mergeCell ref="F5:G5"/>
    <mergeCell ref="H5:H6"/>
    <mergeCell ref="I5:I6"/>
  </mergeCells>
  <printOptions/>
  <pageMargins left="0.7874015748031497" right="0.3937007874015748" top="0.7874015748031497" bottom="0.7874015748031497" header="0.31496062992125984" footer="0.31496062992125984"/>
  <pageSetup fitToHeight="0" fitToWidth="1" horizontalDpi="600" verticalDpi="600" orientation="portrait" paperSize="9" scale="72" r:id="rId1"/>
  <rowBreaks count="2" manualBreakCount="2">
    <brk id="39" max="10" man="1"/>
    <brk id="6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2017-11-21T09:03:17Z</cp:lastPrinted>
  <dcterms:created xsi:type="dcterms:W3CDTF">2009-02-10T04:49:18Z</dcterms:created>
  <dcterms:modified xsi:type="dcterms:W3CDTF">2017-11-21T09:03:35Z</dcterms:modified>
  <cp:category/>
  <cp:version/>
  <cp:contentType/>
  <cp:contentStatus/>
</cp:coreProperties>
</file>