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20" windowHeight="8565" tabRatio="618" firstSheet="2" activeTab="5"/>
  </bookViews>
  <sheets>
    <sheet name="Форма 5.1." sheetId="1" r:id="rId1"/>
    <sheet name="Форма 5.2." sheetId="2" r:id="rId2"/>
    <sheet name="Форма 5.3." sheetId="3" r:id="rId3"/>
    <sheet name="Форма 5.4." sheetId="4" r:id="rId4"/>
    <sheet name="Форма 5.5." sheetId="5" r:id="rId5"/>
    <sheet name="Форма 5.6." sheetId="6" r:id="rId6"/>
    <sheet name="Форма 5.6. КУ" sheetId="7" state="hidden" r:id="rId7"/>
    <sheet name="Форма 5.6. БУ" sheetId="8" state="hidden" r:id="rId8"/>
  </sheets>
  <definedNames>
    <definedName name="Z_50E4C655_CE22_4AB9_8F72_5E0E98645600_.wvu.PrintArea" localSheetId="0" hidden="1">'Форма 5.1.'!$A$1:$G$63</definedName>
    <definedName name="Z_50E4C655_CE22_4AB9_8F72_5E0E98645600_.wvu.PrintTitles" localSheetId="0" hidden="1">'Форма 5.1.'!$8:$11</definedName>
    <definedName name="Z_50E4C655_CE22_4AB9_8F72_5E0E98645600_.wvu.Rows" localSheetId="0" hidden="1">'Форма 5.1.'!#REF!</definedName>
    <definedName name="Z_5C43AB11_EAE2_4A0C_9E3B_F5D49D7C537D_.wvu.PrintArea" localSheetId="0" hidden="1">'Форма 5.1.'!$A$1:$E$63</definedName>
    <definedName name="Z_5C43AB11_EAE2_4A0C_9E3B_F5D49D7C537D_.wvu.PrintTitles" localSheetId="0" hidden="1">'Форма 5.1.'!$8:$11</definedName>
    <definedName name="Z_5C43AB11_EAE2_4A0C_9E3B_F5D49D7C537D_.wvu.Rows" localSheetId="0" hidden="1">'Форма 5.1.'!#REF!</definedName>
    <definedName name="Z_784AE35D_4A42_4ACF_B96A_AEA7554C0E6C_.wvu.PrintArea" localSheetId="0" hidden="1">'Форма 5.1.'!$A$1:$E$63</definedName>
    <definedName name="Z_784AE35D_4A42_4ACF_B96A_AEA7554C0E6C_.wvu.PrintTitles" localSheetId="0" hidden="1">'Форма 5.1.'!$8:$11</definedName>
    <definedName name="Z_784AE35D_4A42_4ACF_B96A_AEA7554C0E6C_.wvu.Rows" localSheetId="0" hidden="1">'Форма 5.1.'!#REF!</definedName>
    <definedName name="Z_88120B8C_E583_49BB_8826_7D467D60C82D_.wvu.PrintArea" localSheetId="0" hidden="1">'Форма 5.1.'!$A$1:$E$63</definedName>
    <definedName name="Z_88120B8C_E583_49BB_8826_7D467D60C82D_.wvu.PrintTitles" localSheetId="0" hidden="1">'Форма 5.1.'!$8:$11</definedName>
    <definedName name="Z_88120B8C_E583_49BB_8826_7D467D60C82D_.wvu.Rows" localSheetId="0" hidden="1">'Форма 5.1.'!#REF!</definedName>
    <definedName name="_xlnm.Print_Titles" localSheetId="0">'Форма 5.1.'!$8:$11</definedName>
    <definedName name="_xlnm.Print_Titles" localSheetId="5">'Форма 5.6.'!$4:$6</definedName>
    <definedName name="_xlnm.Print_Titles" localSheetId="7">'Форма 5.6. БУ'!$4:$6</definedName>
    <definedName name="_xlnm.Print_Titles" localSheetId="6">'Форма 5.6. КУ'!$4:$6</definedName>
    <definedName name="_xlnm.Print_Area" localSheetId="0">'Форма 5.1.'!$A$1:$G$63</definedName>
    <definedName name="_xlnm.Print_Area" localSheetId="2">'Форма 5.3.'!$A$1:$K$22</definedName>
  </definedNames>
  <calcPr fullCalcOnLoad="1"/>
</workbook>
</file>

<file path=xl/sharedStrings.xml><?xml version="1.0" encoding="utf-8"?>
<sst xmlns="http://schemas.openxmlformats.org/spreadsheetml/2006/main" count="645" uniqueCount="232">
  <si>
    <t>Начисления на выплаты по оплате труда</t>
  </si>
  <si>
    <t>в том числе:</t>
  </si>
  <si>
    <t>Руководитель финансового органа</t>
  </si>
  <si>
    <t>х</t>
  </si>
  <si>
    <t>в том числе</t>
  </si>
  <si>
    <t>Наименование показателей</t>
  </si>
  <si>
    <t>(наименование муниципального образования)</t>
  </si>
  <si>
    <t xml:space="preserve">    в том числе</t>
  </si>
  <si>
    <t>1. Общегосударственные вопросы</t>
  </si>
  <si>
    <t>Заработная плата</t>
  </si>
  <si>
    <t>тыс. руб</t>
  </si>
  <si>
    <t>Наименование поселения</t>
  </si>
  <si>
    <t>Доходы</t>
  </si>
  <si>
    <t>в т.ч. налоговые и неналоговые доходы</t>
  </si>
  <si>
    <t>Расходы</t>
  </si>
  <si>
    <t>Дефицит (-), профицит (+)</t>
  </si>
  <si>
    <t>Дефицит (-) в %%</t>
  </si>
  <si>
    <t>ИТОГО</t>
  </si>
  <si>
    <t>Исполнитель</t>
  </si>
  <si>
    <t xml:space="preserve"> по оценке ДФ</t>
  </si>
  <si>
    <t>по оценке МО</t>
  </si>
  <si>
    <t>по оценке ДФ</t>
  </si>
  <si>
    <t>ДФ</t>
  </si>
  <si>
    <t>МО</t>
  </si>
  <si>
    <t>1. Налоговые и неналоговые доходы всего:</t>
  </si>
  <si>
    <t>СПРАВОЧНО:</t>
  </si>
  <si>
    <t>Доп.норматив от НДФЛ (%%)</t>
  </si>
  <si>
    <t>Объем НДФЛ по допнормативу  (тыс. руб.)</t>
  </si>
  <si>
    <t>Объем НДФЛ без допнорматива (тыс. руб.)</t>
  </si>
  <si>
    <t>предельное значение, %%</t>
  </si>
  <si>
    <t>Источники финансирования дефицита</t>
  </si>
  <si>
    <t>Изменение остатков</t>
  </si>
  <si>
    <t xml:space="preserve">снижение  нецелевых остатков в связи с направлением их на расходы </t>
  </si>
  <si>
    <t>бюджетные кредиты</t>
  </si>
  <si>
    <t>кредиты коммерческих банков</t>
  </si>
  <si>
    <t>ценные бумаги</t>
  </si>
  <si>
    <t>Итого необеспеченный дефицит (обеспечен целевыми средствами)</t>
  </si>
  <si>
    <t>Муниципальный долг</t>
  </si>
  <si>
    <t>доходы всего на 1 жителя</t>
  </si>
  <si>
    <t>расходы всего на 1 жителя</t>
  </si>
  <si>
    <t xml:space="preserve">Штатная численность работников муниципальных учреждений  по полномочиям местного значения </t>
  </si>
  <si>
    <t xml:space="preserve">Численность работников органов местного самоуправления                 </t>
  </si>
  <si>
    <t>Количество муниципальных учреждений</t>
  </si>
  <si>
    <t>Исполнитель  (тел)</t>
  </si>
  <si>
    <t>Штатная численность
(ед) - Среднегодовое (прогноз)</t>
  </si>
  <si>
    <t>2. Национальная оборона</t>
  </si>
  <si>
    <t>3. Национальная безопасность и правоохранительная деятельность</t>
  </si>
  <si>
    <t>4. Национальная экономика</t>
  </si>
  <si>
    <t>5. Жилищно-коммунальное хозяйство</t>
  </si>
  <si>
    <t>6. Охрана окружающей среды</t>
  </si>
  <si>
    <t>7. Образование</t>
  </si>
  <si>
    <t>8. Культура, кинематография</t>
  </si>
  <si>
    <t>9. Здравоохранение</t>
  </si>
  <si>
    <t>10. Социальная политика</t>
  </si>
  <si>
    <t>11. Физическая культура и спорт</t>
  </si>
  <si>
    <t>12. ВСЕГО</t>
  </si>
  <si>
    <t>в т.ч.</t>
  </si>
  <si>
    <t>налоговые доходы всего, из них:</t>
  </si>
  <si>
    <t>НДФЛ  всего</t>
  </si>
  <si>
    <t xml:space="preserve">акцизы </t>
  </si>
  <si>
    <t>УСН</t>
  </si>
  <si>
    <t>ЕНВД</t>
  </si>
  <si>
    <t>налог на имущество физических лиц</t>
  </si>
  <si>
    <t>земельный налог</t>
  </si>
  <si>
    <t>неналоговые доходы</t>
  </si>
  <si>
    <t>из них:</t>
  </si>
  <si>
    <t>доходы от использования имущества, находящегося в государственной и муниципальной собственности, из них</t>
  </si>
  <si>
    <t>арендная плата за земельные участки</t>
  </si>
  <si>
    <t xml:space="preserve">доходы от продажи материальных и нематериальных активов </t>
  </si>
  <si>
    <r>
      <t xml:space="preserve">2. Безвозмездные поступления, всего </t>
    </r>
    <r>
      <rPr>
        <b/>
        <u val="single"/>
        <sz val="11"/>
        <color indexed="8"/>
        <rFont val="Times New Roman"/>
        <family val="1"/>
      </rPr>
      <t>(нецелевые средства)</t>
    </r>
  </si>
  <si>
    <t>дотация на сбалансированность</t>
  </si>
  <si>
    <t>дотация ЗАТО из федерального бюджета</t>
  </si>
  <si>
    <t>1) первоочередные (без учета средств на софинансирование), в т.ч.</t>
  </si>
  <si>
    <t>ФОТ с начисл. к собственным доходам (%)</t>
  </si>
  <si>
    <t>2) непервоочередные (без учета средств на софинансирование), в т.ч.</t>
  </si>
  <si>
    <t xml:space="preserve">3. Расходы на условиях софинансирования </t>
  </si>
  <si>
    <t xml:space="preserve">расшифровать по всем направлениям с указанием уровня софинансирования </t>
  </si>
  <si>
    <t>1.3) Обслуживание муниципального долга</t>
  </si>
  <si>
    <t>1.4.3) Коммунальные услуги</t>
  </si>
  <si>
    <t xml:space="preserve">1.4.4) Арендная плата за пользование имуществом </t>
  </si>
  <si>
    <t>1.4.2) Транспортные услуги</t>
  </si>
  <si>
    <t xml:space="preserve">1.4.1) Услуги связи </t>
  </si>
  <si>
    <t>1.4.5) Увеличение стоимости материальных запасов</t>
  </si>
  <si>
    <r>
      <t>Доходы всего</t>
    </r>
    <r>
      <rPr>
        <sz val="11"/>
        <color indexed="8"/>
        <rFont val="Times New Roman"/>
        <family val="1"/>
      </rPr>
      <t xml:space="preserve"> (налоговые и неналоговые доходы, нецелевая финансовая помощь ) </t>
    </r>
  </si>
  <si>
    <t>Работников казенных учреждений</t>
  </si>
  <si>
    <t>Работников бюджетных и автономных учрежедений</t>
  </si>
  <si>
    <t xml:space="preserve">                                                                                                                                                        (наименование муниципального образования)</t>
  </si>
  <si>
    <t>тыс. рублей</t>
  </si>
  <si>
    <t>наименование объекта</t>
  </si>
  <si>
    <t>ФБ</t>
  </si>
  <si>
    <t>ОБ</t>
  </si>
  <si>
    <t>МБ</t>
  </si>
  <si>
    <t>Информация по субсидиям юридическим лицам</t>
  </si>
  <si>
    <t>наименование муниципального образования</t>
  </si>
  <si>
    <t>РзПр</t>
  </si>
  <si>
    <t>Наименование субсидии</t>
  </si>
  <si>
    <t>Наименование должностей</t>
  </si>
  <si>
    <t xml:space="preserve">Муниципальные должности и должности муниципальной службы </t>
  </si>
  <si>
    <t xml:space="preserve">Муниципальные должности </t>
  </si>
  <si>
    <t xml:space="preserve">Должности муниципальной службы </t>
  </si>
  <si>
    <t>Должности работников ОМСУ, не являющихся муниципальными служащими</t>
  </si>
  <si>
    <t>Численность (шт.ед.)</t>
  </si>
  <si>
    <t>Численность (шт.ед)</t>
  </si>
  <si>
    <t>подпись</t>
  </si>
  <si>
    <t>расшифровка подписи</t>
  </si>
  <si>
    <t xml:space="preserve">Всего по ОМСУ </t>
  </si>
  <si>
    <t>Всего,  расходов    тыс. рублей</t>
  </si>
  <si>
    <t>Информация о численности и расходах на содержание ОМСУ  (без переданных полномочий)</t>
  </si>
  <si>
    <t>Заработная плата с начислениями (гр.5+гр.6)</t>
  </si>
  <si>
    <t>Заработная плата с начислениями (гр.10+гр.11)</t>
  </si>
  <si>
    <t>Фонд оплаты труда с начислениями тыс. рублей</t>
  </si>
  <si>
    <t xml:space="preserve">Объем Фонда финансовой поддержки муниципальных районов, городских округов </t>
  </si>
  <si>
    <t>Объекты капитального строительства (расшифровать)</t>
  </si>
  <si>
    <t>Итого:</t>
  </si>
  <si>
    <t>Всего:</t>
  </si>
  <si>
    <r>
      <t>1.1) Общий объём фонда оплаты труда с начислениями</t>
    </r>
    <r>
      <rPr>
        <b/>
        <sz val="14"/>
        <color indexed="8"/>
        <rFont val="Times New Roman"/>
        <family val="1"/>
      </rPr>
      <t xml:space="preserve"> * </t>
    </r>
  </si>
  <si>
    <r>
      <t>1.2) Иные выплаты (за исключением фонда оплаты труда)</t>
    </r>
    <r>
      <rPr>
        <b/>
        <sz val="14"/>
        <color indexed="8"/>
        <rFont val="Times New Roman"/>
        <family val="1"/>
      </rPr>
      <t xml:space="preserve"> * </t>
    </r>
  </si>
  <si>
    <t xml:space="preserve">2.2) Социальная помощь населению </t>
  </si>
  <si>
    <t>2.6) Расходы на увеличение стоимости основных средств</t>
  </si>
  <si>
    <r>
      <t xml:space="preserve">2.7) Субсидии на иные цели бюджетным и автономным учреждениям </t>
    </r>
    <r>
      <rPr>
        <i/>
        <sz val="11"/>
        <color indexed="8"/>
        <rFont val="Times New Roman"/>
        <family val="1"/>
      </rPr>
      <t>(за исключением расходов включённых в п.2.3- 2.6.)</t>
    </r>
  </si>
  <si>
    <r>
      <t xml:space="preserve">* </t>
    </r>
    <r>
      <rPr>
        <b/>
        <sz val="12"/>
        <color indexed="8"/>
        <rFont val="Times New Roman"/>
        <family val="1"/>
      </rPr>
      <t>Расходы казённых, бюджетных и автономных учреждений</t>
    </r>
  </si>
  <si>
    <t>2.8) Другие расходы (расшифровать)</t>
  </si>
  <si>
    <r>
      <t xml:space="preserve">1.4) Расходы на обеспечение муниципальных нужд </t>
    </r>
    <r>
      <rPr>
        <b/>
        <sz val="14"/>
        <color indexed="8"/>
        <rFont val="Times New Roman"/>
        <family val="1"/>
      </rPr>
      <t xml:space="preserve">* 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в т.ч.:
</t>
    </r>
  </si>
  <si>
    <t xml:space="preserve">Удельный вес первоочередных расходов в собственных доходах </t>
  </si>
  <si>
    <r>
      <t xml:space="preserve">1.5)  Налоги и сборы </t>
    </r>
    <r>
      <rPr>
        <b/>
        <sz val="14"/>
        <rFont val="Times New Roman"/>
        <family val="1"/>
      </rPr>
      <t>*</t>
    </r>
  </si>
  <si>
    <t>2.1) Субсидии юридическим лицам</t>
  </si>
  <si>
    <t xml:space="preserve">2.3) Расходы на капитальное строительство </t>
  </si>
  <si>
    <t>2.4.) Расходы на капитальный ремонт</t>
  </si>
  <si>
    <t>1.4.6) Расходы на текущее содержание зданий</t>
  </si>
  <si>
    <t>2.5) Расходы на приобретение объектов недвижимого имущества</t>
  </si>
  <si>
    <t>Объекты недвижимого имущества, приобретаемого в муниципальную собственность  (расшифровать)</t>
  </si>
  <si>
    <t>2018 год</t>
  </si>
  <si>
    <t>4. Дорожный фонд</t>
  </si>
  <si>
    <t>2019 год</t>
  </si>
  <si>
    <t>9=7/5</t>
  </si>
  <si>
    <r>
      <t xml:space="preserve">Штатная численность и расходы на оплату труда работников муниципальных  учреждений *                                                                                                                                            </t>
    </r>
    <r>
      <rPr>
        <b/>
        <i/>
        <sz val="14"/>
        <rFont val="Times New Roman"/>
        <family val="1"/>
      </rPr>
      <t xml:space="preserve">(за счет налоговых и неналоговых доходов и нецелевой финансовой помощи из областного бюджета)        </t>
    </r>
    <r>
      <rPr>
        <b/>
        <sz val="14"/>
        <rFont val="Times New Roman"/>
        <family val="1"/>
      </rPr>
      <t xml:space="preserve">      </t>
    </r>
  </si>
  <si>
    <t>* без ОМСУ</t>
  </si>
  <si>
    <t>3. Расходы - всего (без субвенций (за исключением субвенции по расчету и предоставлению дотаций поселениям), субсидий, иных МБТ )</t>
  </si>
  <si>
    <t>ИНФОРМАЦИЯ ПО ОБЪЕКТАМ КАПИТАЛЬНОГО СТРОИТЕЛЬСТВА И ОБЪЕКТАМ НЕДВИЖИМОГО ИМУЩЕСТВА, ПРИОБРЕТАЕМОГО В МУНИЦИПАЛЬНУЮ СОБСТВЕННОСТЬ</t>
  </si>
  <si>
    <t xml:space="preserve">Приложение № 5 к письму Департамента финансов                             Томской области                                            
</t>
  </si>
  <si>
    <t>от 05.09.2019 №50-02/18/1-320</t>
  </si>
  <si>
    <t>2020 год</t>
  </si>
  <si>
    <t>Фонд оплаты труда с начислениями (план по состоянию на 01.09.2019) тыс. рублей</t>
  </si>
  <si>
    <t>Темп роста 2020 к 2019 году</t>
  </si>
  <si>
    <t>Причины роста (снижения) плановых значений на 2020 годов к  2019  году</t>
  </si>
  <si>
    <t>Утверждено на 01.09.2019г.</t>
  </si>
  <si>
    <t>Проект 2020 год</t>
  </si>
  <si>
    <t>Темп роста всего расходов 2020/2019 (гр.8/гр.3)</t>
  </si>
  <si>
    <t>Темп роста заработной платы с начислениями 2020/2019 (гр.9/гр.4)</t>
  </si>
  <si>
    <t>Основные параметры бюджетов поселений на 2019-2020 годы</t>
  </si>
  <si>
    <t>Утверждено на 2019 год (по состоянию на 01.09.2019)</t>
  </si>
  <si>
    <t>Прогноз на 2020 год</t>
  </si>
  <si>
    <t>Форма 5.1.</t>
  </si>
  <si>
    <t>Форма 5.2.</t>
  </si>
  <si>
    <t>Форма 5.3.</t>
  </si>
  <si>
    <t>Форма 5.4.</t>
  </si>
  <si>
    <t>2019 год (план)</t>
  </si>
  <si>
    <t>2020 год (заявленная потребность)</t>
  </si>
  <si>
    <t>Форма 5.5.</t>
  </si>
  <si>
    <t>Ожидаемое исполнение 
2019 год</t>
  </si>
  <si>
    <t>Проект 
2020 год</t>
  </si>
  <si>
    <t>Форма 5.6.</t>
  </si>
  <si>
    <t>Анализ ожидаемого исполнения консолидированного бюджета МО  _________________________________ в 2019 году и прогноз на 2020 год
                                                  (без субвенций (за исключением субвенции по расчету и предоставлению дотаций поселениям), субсидий , иных МБТ из областного бюджета )</t>
  </si>
  <si>
    <t>Первоначальный план 2019 года</t>
  </si>
  <si>
    <t>Утверждено по состоянию на 01.09.2019</t>
  </si>
  <si>
    <t>Результат мероприятий по оздоровлению  муниципальных финансов проводимых в 2019 году</t>
  </si>
  <si>
    <t>Ожидаемое исполнение на 2019 год (тыс. руб.)</t>
  </si>
  <si>
    <t>Отклонение ожидаемого по оценке МО от плана на 01.09.2019</t>
  </si>
  <si>
    <t>8=гр.7-гр.5</t>
  </si>
  <si>
    <t>Темп роста ожидаемого ДФ 2019 к исполнению  2018 года</t>
  </si>
  <si>
    <t>Темп роста ожидаемого МО 2019 к исполнению 2018 года</t>
  </si>
  <si>
    <t>Прогноз на 2020 год                (тыс. руб.)</t>
  </si>
  <si>
    <t>Темп роста 2020/2019 (в %)</t>
  </si>
  <si>
    <t>Прочие безвозмездные поступления в бюджеты муниципальных районов</t>
  </si>
  <si>
    <t>Доходы от возврата организациями остатков субсидий прошлых лет</t>
  </si>
  <si>
    <t xml:space="preserve">дотации на выравнивание  бюджетной обеспеченности </t>
  </si>
  <si>
    <t>субвенции на переданые гос. полномочия по расчету и предоставлению дотаций бюджетам поселений</t>
  </si>
  <si>
    <t xml:space="preserve">из них </t>
  </si>
  <si>
    <t>численность на 01.01.2019 года (тыс. чел) с 3-мя знаками после запятой</t>
  </si>
  <si>
    <t>плата за негативное воздействие на окружающую среду</t>
  </si>
  <si>
    <t>2018 год (факт)</t>
  </si>
  <si>
    <t>консолидированный бюджет муниципального образования "Город Кедровый"</t>
  </si>
  <si>
    <t>Частичная оплата стоимости питания отдельных категорий обучающихся в муниципальных общеобразовательных организациях города Кедрового, за исключением обучающихся с ограниченными возможностями здоровья</t>
  </si>
  <si>
    <t>Организация отдыха в лагерях с дневным пребыванием детей, организованных на базах общеобразовательных организаций</t>
  </si>
  <si>
    <t>Организация и проведение муниципальных официальных физкультурных и спортивных мероприятий, в том числе в образовательных учреждениях, а так же организация физкультурно-спортивной работы по месту жительства граждан</t>
  </si>
  <si>
    <t>Обеспечение участия спортивных сборных команд муниципального образования «Город Кедровый» в официальных региональных спортивных, физкультурных мероприятиях, проводимых на территории Томской области</t>
  </si>
  <si>
    <t>Приобретение оборудования для малобюджетных спортивных площадок по месту жительства и учебы в муниципальных образованиях Томской области</t>
  </si>
  <si>
    <t>Развитие и укрепление материально-технической базы домов культуры в Томской области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</si>
  <si>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</si>
  <si>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Основное мероприятие "Проведение ремонта и (или) переустройства в жилых помещениях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</t>
  </si>
  <si>
    <t>Проведение капитального ремонта объектов коммунальной инфраструктуры в целях подготовки хозяйственного комплекса города Кедрового к безаварийному прохождению отопительного сезона</t>
  </si>
  <si>
    <t>Капитальный ремонт и (или) ремонт автомобильных дорог общего пользования местного значения</t>
  </si>
  <si>
    <t>Повышение уровня благоустройства дворовых территорий муниципального образования "Город Кедровый" в рамках реализации Государственной программы "Формирование комфортной среды Томской области на 2018-2022 годы"</t>
  </si>
  <si>
    <t xml:space="preserve">Повышение уровня благоустройства общественных территорий муниципального образования "Город Кедровый" в рамках реализации Государственной программы "Формирование комфортной среды Томской области на 2018-2022 годы"
</t>
  </si>
  <si>
    <t>Бюджетные ассигнования на объекты капитального строительства государственной (муниципальной) собственности, объекты недвижимого имущества, приобретаемые в государственную (муниципальную) собственность за счет средств местного бюджета</t>
  </si>
  <si>
    <t>Создание и обеспечение деятельности виртуального концертного зала</t>
  </si>
  <si>
    <t>Создание мест (площадок) твердых коммунальных отходов на территории муниципального образования "Город Кедровый"</t>
  </si>
  <si>
    <t>Оборудование муниципальных полигонов средствами измерения массы твердых коммунальных отходов на территории муниципального образования "Город Кедровый"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</si>
  <si>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</si>
  <si>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проекта, предложенного непосредственно населением муниципального образования «Город Кедровый»</t>
  </si>
  <si>
    <t>Благоустройство мемориального комплекса, посвященного Победе в Великой отечественной войне</t>
  </si>
  <si>
    <t>О. С. Барвенко</t>
  </si>
  <si>
    <t>иные расходы (296)</t>
  </si>
  <si>
    <t>прочие работы, услуги (226)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</si>
  <si>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</si>
  <si>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</si>
  <si>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</si>
  <si>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</si>
  <si>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</si>
  <si>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резервные фонды и зарезервированные средства</t>
  </si>
  <si>
    <t>Увеличение стоимости лекарственных препаратов и материалов, применяемых в медицинских целях</t>
  </si>
  <si>
    <t>Увеличение стоимости строительных материалов (344)\</t>
  </si>
  <si>
    <t>Увеличение стоимости мягкого инвентаря (345)</t>
  </si>
  <si>
    <t>Увеличение стоимости прочих оборотных запасов (материалов) (346)</t>
  </si>
  <si>
    <t>Увеличение стоимости прочих материальных запасов однократного применения (349)</t>
  </si>
  <si>
    <r>
      <t xml:space="preserve">1.4) Расходы на обеспечение муниципальных нужд </t>
    </r>
    <r>
      <rPr>
        <b/>
        <sz val="14"/>
        <color indexed="8"/>
        <rFont val="Times New Roman"/>
        <family val="1"/>
      </rPr>
      <t xml:space="preserve">* 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 т.ч.:</t>
    </r>
  </si>
  <si>
    <t>Строительство полигона твердых коммунальных отходов в г. Кедровом (разработка ПСД)</t>
  </si>
  <si>
    <t>Организация и проведение муниципального конкурса предпринимательских проектов «Достойный бизнес» на территории муниципального образования, в том числе сопровождение проектов-победителей конкурса, включая предоставление субсидий на реализацию проектов</t>
  </si>
  <si>
    <t>0412</t>
  </si>
  <si>
    <t>Приобретение жилья детям сиротам:                          2018 год - 2 квартиры, 2019 год - 2 квартиры</t>
  </si>
  <si>
    <t>Муниципальное образование "Город Кедровый"</t>
  </si>
  <si>
    <t>Приобретение гаражей</t>
  </si>
  <si>
    <t>Строительство универсальной спортивной площадки по адресу Томская обл., г. Кедровый, с. Пудино, ул. Горького, 8</t>
  </si>
  <si>
    <t>Строительство новых очистных сооружений (разработка ПСД)</t>
  </si>
  <si>
    <t>Барвенко Ольга Сергеевна, 8(38-250)35-156, 712-442</t>
  </si>
  <si>
    <t>В 2019 году дополнительные лимиты на выплату заработной платы доведены в сентябре 2019 года</t>
  </si>
  <si>
    <t>В 2019 году работники трудоустраивались на коротние сроки для экономии расходов на зп, на 2020 год запланированы расходы в требуемом объеме</t>
  </si>
  <si>
    <t>В 2019 году кочегары находились в отпуске без сохранения зп, на 2020 год расходы запланированы в полном объеме, увеличение МРОТ</t>
  </si>
  <si>
    <t>На 2020 год запланированы расходы на выплату работникам культурц с местного бюджета гарантировнной части зп</t>
  </si>
  <si>
    <t>В связи с решением Кедровского городского суда необходимо создать специализтрованную службу по вопросам похоронного дела, с 01.01.2020 планируется ввести 0,2 ставки специалиста</t>
  </si>
  <si>
    <t>В 2019 году специалист ФК занимает только 0,5 ставки из имеющейся 1 ставки, инструкторы по ФК также работают не на полную ставку, в 2020 году запланированы расходы в полном объеме</t>
  </si>
  <si>
    <t>Анализ ожидаемого исполнения консолидированного бюджета МО  "Город Кедровый" в 2019 году (без субвенций (за исключением субвенции по расчету и предоставлению дотаций поселениям), субсидий , иных МБТ из областного бюджета 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</si>
</sst>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_ ;[Red]\-#,##0\ 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000"/>
    <numFmt numFmtId="186" formatCode="?"/>
    <numFmt numFmtId="187" formatCode="[$€-2]\ ###,000_);[Red]\([$€-2]\ ###,000\)"/>
    <numFmt numFmtId="188" formatCode="#,##0.0_р_."/>
    <numFmt numFmtId="189" formatCode="_-* #,##0.0_р_._-;\-* #,##0.0_р_._-;_-* &quot;-&quot;?_р_._-;_-@_-"/>
    <numFmt numFmtId="190" formatCode="[$-FC19]d\ mmmm\ yyyy\ &quot;г.&quot;"/>
    <numFmt numFmtId="191" formatCode="_-* #,##0_р_._-;\-* #,##0_р_._-;_-* &quot;-&quot;?_р_._-;_-@_-"/>
    <numFmt numFmtId="192" formatCode="#,##0.0_ ;\-#,##0.0\ "/>
    <numFmt numFmtId="193" formatCode="dd/mm/yyyy\ hh:mm"/>
    <numFmt numFmtId="194" formatCode="_-* #,##0.0\ _₽_-;\-* #,##0.0\ _₽_-;_-* &quot;-&quot;?\ _₽_-;_-@_-"/>
    <numFmt numFmtId="195" formatCode="_-* #,##0.00_р_._-;\-* #,##0.00_р_._-;_-* &quot;-&quot;?_р_._-;_-@_-"/>
    <numFmt numFmtId="196" formatCode="_-* #,##0.000_р_._-;\-* #,##0.000_р_._-;_-* &quot;-&quot;?_р_._-;_-@_-"/>
    <numFmt numFmtId="197" formatCode="_-* #,##0.000\ _₽_-;\-* #,##0.000\ _₽_-;_-* &quot;-&quot;???\ _₽_-;_-@_-"/>
  </numFmts>
  <fonts count="7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 CYR"/>
      <family val="1"/>
    </font>
    <font>
      <sz val="11.5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u val="single"/>
      <sz val="11"/>
      <color indexed="8"/>
      <name val="Times New Roman"/>
      <family val="1"/>
    </font>
    <font>
      <i/>
      <sz val="10"/>
      <name val="Arial Cyr"/>
      <family val="0"/>
    </font>
    <font>
      <b/>
      <i/>
      <sz val="11"/>
      <color indexed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.5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6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33" borderId="11" xfId="0" applyFont="1" applyFill="1" applyBorder="1" applyAlignment="1">
      <alignment vertical="center" wrapText="1"/>
    </xf>
    <xf numFmtId="178" fontId="15" fillId="33" borderId="10" xfId="0" applyNumberFormat="1" applyFont="1" applyFill="1" applyBorder="1" applyAlignment="1">
      <alignment vertical="center"/>
    </xf>
    <xf numFmtId="180" fontId="15" fillId="33" borderId="10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180" fontId="1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1" fillId="0" borderId="10" xfId="0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77" fontId="9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89" fontId="3" fillId="33" borderId="11" xfId="0" applyNumberFormat="1" applyFont="1" applyFill="1" applyBorder="1" applyAlignment="1">
      <alignment vertical="center" wrapText="1"/>
    </xf>
    <xf numFmtId="189" fontId="15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4" fillId="34" borderId="12" xfId="0" applyFont="1" applyFill="1" applyBorder="1" applyAlignment="1">
      <alignment vertical="center" wrapText="1"/>
    </xf>
    <xf numFmtId="188" fontId="24" fillId="34" borderId="12" xfId="0" applyNumberFormat="1" applyFont="1" applyFill="1" applyBorder="1" applyAlignment="1">
      <alignment vertical="center" wrapText="1"/>
    </xf>
    <xf numFmtId="188" fontId="24" fillId="34" borderId="12" xfId="0" applyNumberFormat="1" applyFont="1" applyFill="1" applyBorder="1" applyAlignment="1">
      <alignment horizontal="center" vertical="center" wrapText="1"/>
    </xf>
    <xf numFmtId="180" fontId="24" fillId="34" borderId="12" xfId="0" applyNumberFormat="1" applyFont="1" applyFill="1" applyBorder="1" applyAlignment="1">
      <alignment vertical="center" wrapText="1"/>
    </xf>
    <xf numFmtId="180" fontId="23" fillId="34" borderId="12" xfId="0" applyNumberFormat="1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24" fillId="36" borderId="12" xfId="0" applyFont="1" applyFill="1" applyBorder="1" applyAlignment="1">
      <alignment vertical="center" wrapText="1"/>
    </xf>
    <xf numFmtId="188" fontId="24" fillId="36" borderId="12" xfId="0" applyNumberFormat="1" applyFont="1" applyFill="1" applyBorder="1" applyAlignment="1">
      <alignment vertical="center" wrapText="1"/>
    </xf>
    <xf numFmtId="188" fontId="24" fillId="36" borderId="12" xfId="0" applyNumberFormat="1" applyFont="1" applyFill="1" applyBorder="1" applyAlignment="1">
      <alignment horizontal="center" vertical="center" wrapText="1"/>
    </xf>
    <xf numFmtId="188" fontId="24" fillId="36" borderId="12" xfId="0" applyNumberFormat="1" applyFont="1" applyFill="1" applyBorder="1" applyAlignment="1">
      <alignment horizontal="right" vertical="center" wrapText="1"/>
    </xf>
    <xf numFmtId="180" fontId="24" fillId="36" borderId="12" xfId="0" applyNumberFormat="1" applyFont="1" applyFill="1" applyBorder="1" applyAlignment="1">
      <alignment vertical="center" wrapText="1"/>
    </xf>
    <xf numFmtId="180" fontId="23" fillId="36" borderId="12" xfId="0" applyNumberFormat="1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189" fontId="23" fillId="0" borderId="12" xfId="0" applyNumberFormat="1" applyFont="1" applyBorder="1" applyAlignment="1">
      <alignment vertical="center" wrapText="1"/>
    </xf>
    <xf numFmtId="188" fontId="23" fillId="0" borderId="12" xfId="0" applyNumberFormat="1" applyFont="1" applyBorder="1" applyAlignment="1">
      <alignment vertical="center" wrapText="1"/>
    </xf>
    <xf numFmtId="188" fontId="23" fillId="0" borderId="12" xfId="0" applyNumberFormat="1" applyFont="1" applyBorder="1" applyAlignment="1">
      <alignment horizontal="center" vertical="center" wrapText="1"/>
    </xf>
    <xf numFmtId="188" fontId="23" fillId="0" borderId="12" xfId="0" applyNumberFormat="1" applyFont="1" applyBorder="1" applyAlignment="1">
      <alignment horizontal="right" vertical="center" wrapText="1"/>
    </xf>
    <xf numFmtId="180" fontId="23" fillId="0" borderId="12" xfId="0" applyNumberFormat="1" applyFont="1" applyBorder="1" applyAlignment="1">
      <alignment vertical="center" wrapText="1"/>
    </xf>
    <xf numFmtId="188" fontId="23" fillId="0" borderId="12" xfId="0" applyNumberFormat="1" applyFont="1" applyFill="1" applyBorder="1" applyAlignment="1">
      <alignment vertical="center" wrapText="1"/>
    </xf>
    <xf numFmtId="188" fontId="23" fillId="0" borderId="12" xfId="0" applyNumberFormat="1" applyFont="1" applyFill="1" applyBorder="1" applyAlignment="1">
      <alignment horizontal="right" vertical="center" wrapText="1"/>
    </xf>
    <xf numFmtId="180" fontId="23" fillId="0" borderId="12" xfId="0" applyNumberFormat="1" applyFont="1" applyFill="1" applyBorder="1" applyAlignment="1">
      <alignment vertical="center" wrapText="1"/>
    </xf>
    <xf numFmtId="180" fontId="23" fillId="37" borderId="12" xfId="0" applyNumberFormat="1" applyFont="1" applyFill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189" fontId="23" fillId="0" borderId="12" xfId="0" applyNumberFormat="1" applyFont="1" applyFill="1" applyBorder="1" applyAlignment="1">
      <alignment vertical="center" wrapText="1"/>
    </xf>
    <xf numFmtId="0" fontId="24" fillId="38" borderId="12" xfId="0" applyFont="1" applyFill="1" applyBorder="1" applyAlignment="1">
      <alignment vertical="center" wrapText="1"/>
    </xf>
    <xf numFmtId="189" fontId="24" fillId="38" borderId="12" xfId="0" applyNumberFormat="1" applyFont="1" applyFill="1" applyBorder="1" applyAlignment="1">
      <alignment vertical="center" wrapText="1"/>
    </xf>
    <xf numFmtId="188" fontId="24" fillId="38" borderId="12" xfId="0" applyNumberFormat="1" applyFont="1" applyFill="1" applyBorder="1" applyAlignment="1">
      <alignment vertical="center" wrapText="1"/>
    </xf>
    <xf numFmtId="188" fontId="24" fillId="38" borderId="12" xfId="0" applyNumberFormat="1" applyFont="1" applyFill="1" applyBorder="1" applyAlignment="1">
      <alignment horizontal="right" vertical="center" wrapText="1"/>
    </xf>
    <xf numFmtId="180" fontId="24" fillId="38" borderId="12" xfId="0" applyNumberFormat="1" applyFont="1" applyFill="1" applyBorder="1" applyAlignment="1">
      <alignment vertical="center" wrapText="1"/>
    </xf>
    <xf numFmtId="180" fontId="23" fillId="38" borderId="12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2" fontId="23" fillId="0" borderId="12" xfId="0" applyNumberFormat="1" applyFont="1" applyBorder="1" applyAlignment="1">
      <alignment vertical="center" wrapText="1"/>
    </xf>
    <xf numFmtId="189" fontId="25" fillId="0" borderId="12" xfId="0" applyNumberFormat="1" applyFont="1" applyBorder="1" applyAlignment="1">
      <alignment vertical="center" wrapText="1"/>
    </xf>
    <xf numFmtId="188" fontId="25" fillId="0" borderId="12" xfId="0" applyNumberFormat="1" applyFont="1" applyBorder="1" applyAlignment="1">
      <alignment vertical="center" wrapText="1"/>
    </xf>
    <xf numFmtId="188" fontId="23" fillId="37" borderId="12" xfId="0" applyNumberFormat="1" applyFont="1" applyFill="1" applyBorder="1" applyAlignment="1">
      <alignment vertical="center" wrapText="1"/>
    </xf>
    <xf numFmtId="188" fontId="24" fillId="34" borderId="12" xfId="0" applyNumberFormat="1" applyFont="1" applyFill="1" applyBorder="1" applyAlignment="1">
      <alignment horizontal="right" vertical="center" wrapText="1"/>
    </xf>
    <xf numFmtId="0" fontId="24" fillId="34" borderId="12" xfId="0" applyFont="1" applyFill="1" applyBorder="1" applyAlignment="1">
      <alignment horizontal="left" vertical="center" wrapText="1" indent="1"/>
    </xf>
    <xf numFmtId="189" fontId="24" fillId="34" borderId="12" xfId="0" applyNumberFormat="1" applyFont="1" applyFill="1" applyBorder="1" applyAlignment="1">
      <alignment horizontal="left" vertical="center" wrapText="1" indent="1"/>
    </xf>
    <xf numFmtId="188" fontId="24" fillId="34" borderId="12" xfId="0" applyNumberFormat="1" applyFont="1" applyFill="1" applyBorder="1" applyAlignment="1">
      <alignment horizontal="left" vertical="center" wrapText="1" indent="1"/>
    </xf>
    <xf numFmtId="180" fontId="0" fillId="34" borderId="12" xfId="0" applyNumberFormat="1" applyFill="1" applyBorder="1" applyAlignment="1">
      <alignment/>
    </xf>
    <xf numFmtId="188" fontId="0" fillId="34" borderId="12" xfId="0" applyNumberFormat="1" applyFill="1" applyBorder="1" applyAlignment="1">
      <alignment/>
    </xf>
    <xf numFmtId="180" fontId="25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89" fontId="19" fillId="0" borderId="12" xfId="0" applyNumberFormat="1" applyFont="1" applyBorder="1" applyAlignment="1">
      <alignment vertical="center" wrapText="1"/>
    </xf>
    <xf numFmtId="188" fontId="19" fillId="0" borderId="12" xfId="0" applyNumberFormat="1" applyFont="1" applyBorder="1" applyAlignment="1">
      <alignment vertical="center" wrapText="1"/>
    </xf>
    <xf numFmtId="188" fontId="18" fillId="0" borderId="12" xfId="0" applyNumberFormat="1" applyFont="1" applyBorder="1" applyAlignment="1">
      <alignment horizontal="right" vertical="center" wrapText="1"/>
    </xf>
    <xf numFmtId="180" fontId="19" fillId="0" borderId="12" xfId="0" applyNumberFormat="1" applyFont="1" applyBorder="1" applyAlignment="1">
      <alignment vertical="center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180" fontId="23" fillId="0" borderId="12" xfId="0" applyNumberFormat="1" applyFont="1" applyBorder="1" applyAlignment="1">
      <alignment horizontal="right" vertical="center" wrapText="1"/>
    </xf>
    <xf numFmtId="189" fontId="24" fillId="39" borderId="12" xfId="0" applyNumberFormat="1" applyFont="1" applyFill="1" applyBorder="1" applyAlignment="1">
      <alignment vertical="center" wrapText="1"/>
    </xf>
    <xf numFmtId="189" fontId="23" fillId="39" borderId="12" xfId="0" applyNumberFormat="1" applyFont="1" applyFill="1" applyBorder="1" applyAlignment="1">
      <alignment vertical="center" wrapText="1"/>
    </xf>
    <xf numFmtId="188" fontId="23" fillId="39" borderId="12" xfId="0" applyNumberFormat="1" applyFont="1" applyFill="1" applyBorder="1" applyAlignment="1">
      <alignment vertical="center" wrapText="1"/>
    </xf>
    <xf numFmtId="188" fontId="25" fillId="39" borderId="12" xfId="0" applyNumberFormat="1" applyFont="1" applyFill="1" applyBorder="1" applyAlignment="1">
      <alignment vertical="center" wrapText="1"/>
    </xf>
    <xf numFmtId="188" fontId="23" fillId="39" borderId="12" xfId="0" applyNumberFormat="1" applyFont="1" applyFill="1" applyBorder="1" applyAlignment="1">
      <alignment horizontal="right" vertical="center" wrapText="1"/>
    </xf>
    <xf numFmtId="180" fontId="25" fillId="39" borderId="12" xfId="0" applyNumberFormat="1" applyFont="1" applyFill="1" applyBorder="1" applyAlignment="1">
      <alignment vertical="center" wrapText="1"/>
    </xf>
    <xf numFmtId="180" fontId="23" fillId="39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9" fontId="24" fillId="40" borderId="12" xfId="0" applyNumberFormat="1" applyFont="1" applyFill="1" applyBorder="1" applyAlignment="1">
      <alignment vertical="center" wrapText="1"/>
    </xf>
    <xf numFmtId="178" fontId="23" fillId="34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8" fontId="25" fillId="0" borderId="12" xfId="0" applyNumberFormat="1" applyFont="1" applyBorder="1" applyAlignment="1">
      <alignment vertical="center" wrapText="1"/>
    </xf>
    <xf numFmtId="180" fontId="28" fillId="0" borderId="0" xfId="0" applyNumberFormat="1" applyFont="1" applyAlignment="1">
      <alignment/>
    </xf>
    <xf numFmtId="3" fontId="24" fillId="34" borderId="12" xfId="0" applyNumberFormat="1" applyFont="1" applyFill="1" applyBorder="1" applyAlignment="1">
      <alignment vertical="center" wrapText="1"/>
    </xf>
    <xf numFmtId="178" fontId="23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89" fontId="2" fillId="0" borderId="12" xfId="0" applyNumberFormat="1" applyFont="1" applyBorder="1" applyAlignment="1">
      <alignment vertical="center" wrapText="1"/>
    </xf>
    <xf numFmtId="188" fontId="2" fillId="0" borderId="12" xfId="0" applyNumberFormat="1" applyFont="1" applyBorder="1" applyAlignment="1">
      <alignment vertical="center" wrapText="1"/>
    </xf>
    <xf numFmtId="189" fontId="72" fillId="0" borderId="12" xfId="0" applyNumberFormat="1" applyFont="1" applyBorder="1" applyAlignment="1">
      <alignment vertical="center" wrapText="1"/>
    </xf>
    <xf numFmtId="188" fontId="72" fillId="0" borderId="12" xfId="0" applyNumberFormat="1" applyFont="1" applyBorder="1" applyAlignment="1">
      <alignment vertical="center" wrapText="1"/>
    </xf>
    <xf numFmtId="0" fontId="29" fillId="34" borderId="12" xfId="0" applyFont="1" applyFill="1" applyBorder="1" applyAlignment="1">
      <alignment vertical="center" wrapText="1"/>
    </xf>
    <xf numFmtId="189" fontId="29" fillId="34" borderId="12" xfId="0" applyNumberFormat="1" applyFont="1" applyFill="1" applyBorder="1" applyAlignment="1">
      <alignment vertical="center" wrapText="1"/>
    </xf>
    <xf numFmtId="188" fontId="29" fillId="34" borderId="12" xfId="0" applyNumberFormat="1" applyFont="1" applyFill="1" applyBorder="1" applyAlignment="1">
      <alignment horizontal="center" vertical="center" wrapText="1"/>
    </xf>
    <xf numFmtId="188" fontId="29" fillId="34" borderId="12" xfId="0" applyNumberFormat="1" applyFont="1" applyFill="1" applyBorder="1" applyAlignment="1">
      <alignment vertical="center" wrapText="1"/>
    </xf>
    <xf numFmtId="178" fontId="25" fillId="34" borderId="12" xfId="0" applyNumberFormat="1" applyFont="1" applyFill="1" applyBorder="1" applyAlignment="1">
      <alignment vertical="center" wrapText="1"/>
    </xf>
    <xf numFmtId="3" fontId="29" fillId="34" borderId="12" xfId="0" applyNumberFormat="1" applyFont="1" applyFill="1" applyBorder="1" applyAlignment="1">
      <alignment vertical="center" wrapText="1"/>
    </xf>
    <xf numFmtId="0" fontId="24" fillId="34" borderId="12" xfId="0" applyFont="1" applyFill="1" applyBorder="1" applyAlignment="1">
      <alignment horizontal="center" vertical="center" wrapText="1"/>
    </xf>
    <xf numFmtId="1" fontId="24" fillId="34" borderId="12" xfId="0" applyNumberFormat="1" applyFont="1" applyFill="1" applyBorder="1" applyAlignment="1">
      <alignment vertical="center" wrapText="1"/>
    </xf>
    <xf numFmtId="1" fontId="24" fillId="34" borderId="12" xfId="0" applyNumberFormat="1" applyFont="1" applyFill="1" applyBorder="1" applyAlignment="1">
      <alignment horizontal="center" vertical="center" wrapText="1"/>
    </xf>
    <xf numFmtId="3" fontId="24" fillId="34" borderId="12" xfId="0" applyNumberFormat="1" applyFont="1" applyFill="1" applyBorder="1" applyAlignment="1">
      <alignment horizontal="center" vertical="center" wrapText="1"/>
    </xf>
    <xf numFmtId="191" fontId="24" fillId="34" borderId="12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188" fontId="25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top" wrapText="1"/>
    </xf>
    <xf numFmtId="0" fontId="3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 vertical="top" wrapText="1"/>
    </xf>
    <xf numFmtId="0" fontId="32" fillId="0" borderId="0" xfId="0" applyFont="1" applyBorder="1" applyAlignment="1">
      <alignment horizontal="left" vertical="center"/>
    </xf>
    <xf numFmtId="0" fontId="73" fillId="0" borderId="0" xfId="0" applyFont="1" applyAlignment="1">
      <alignment/>
    </xf>
    <xf numFmtId="0" fontId="73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74" fillId="0" borderId="0" xfId="0" applyFont="1" applyAlignment="1">
      <alignment/>
    </xf>
    <xf numFmtId="177" fontId="9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92" fontId="23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77" fontId="23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41" borderId="17" xfId="0" applyNumberFormat="1" applyFont="1" applyFill="1" applyBorder="1" applyAlignment="1">
      <alignment horizontal="center" vertical="center" wrapText="1"/>
    </xf>
    <xf numFmtId="194" fontId="0" fillId="0" borderId="0" xfId="0" applyNumberFormat="1" applyAlignment="1">
      <alignment vertical="center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>
      <alignment vertical="top" wrapText="1"/>
    </xf>
    <xf numFmtId="188" fontId="19" fillId="42" borderId="12" xfId="0" applyNumberFormat="1" applyFont="1" applyFill="1" applyBorder="1" applyAlignment="1">
      <alignment vertical="center" wrapText="1"/>
    </xf>
    <xf numFmtId="188" fontId="23" fillId="0" borderId="12" xfId="0" applyNumberFormat="1" applyFont="1" applyFill="1" applyBorder="1" applyAlignment="1">
      <alignment wrapText="1"/>
    </xf>
    <xf numFmtId="178" fontId="26" fillId="0" borderId="0" xfId="0" applyNumberFormat="1" applyFont="1" applyAlignment="1">
      <alignment/>
    </xf>
    <xf numFmtId="0" fontId="11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0" fontId="22" fillId="0" borderId="10" xfId="0" applyFont="1" applyBorder="1" applyAlignment="1">
      <alignment vertical="center" wrapText="1"/>
    </xf>
    <xf numFmtId="4" fontId="73" fillId="0" borderId="10" xfId="0" applyNumberFormat="1" applyFont="1" applyBorder="1" applyAlignment="1">
      <alignment vertical="center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0" fontId="1" fillId="0" borderId="18" xfId="0" applyFont="1" applyBorder="1" applyAlignment="1">
      <alignment vertical="top"/>
    </xf>
    <xf numFmtId="196" fontId="24" fillId="39" borderId="12" xfId="0" applyNumberFormat="1" applyFont="1" applyFill="1" applyBorder="1" applyAlignment="1">
      <alignment vertical="center" wrapText="1"/>
    </xf>
    <xf numFmtId="0" fontId="24" fillId="39" borderId="12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20" fillId="37" borderId="20" xfId="0" applyFont="1" applyFill="1" applyBorder="1" applyAlignment="1">
      <alignment horizontal="center" vertical="center" wrapText="1"/>
    </xf>
    <xf numFmtId="0" fontId="20" fillId="37" borderId="1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8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1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7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3" fillId="41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zoomScale="83" zoomScaleNormal="83" workbookViewId="0" topLeftCell="A1">
      <selection activeCell="C62" sqref="C62:E62"/>
    </sheetView>
  </sheetViews>
  <sheetFormatPr defaultColWidth="58.25390625" defaultRowHeight="12.75"/>
  <cols>
    <col min="1" max="1" width="52.75390625" style="15" customWidth="1"/>
    <col min="2" max="2" width="15.25390625" style="15" customWidth="1"/>
    <col min="3" max="5" width="16.25390625" style="15" customWidth="1"/>
    <col min="6" max="6" width="10.75390625" style="15" customWidth="1"/>
    <col min="7" max="7" width="36.75390625" style="15" customWidth="1"/>
    <col min="8" max="16384" width="58.25390625" style="15" customWidth="1"/>
  </cols>
  <sheetData>
    <row r="1" spans="6:7" ht="42" customHeight="1">
      <c r="F1" s="204" t="s">
        <v>139</v>
      </c>
      <c r="G1" s="204"/>
    </row>
    <row r="2" spans="6:7" ht="18" customHeight="1">
      <c r="F2" s="204" t="s">
        <v>140</v>
      </c>
      <c r="G2" s="204"/>
    </row>
    <row r="3" spans="6:7" ht="18.75" customHeight="1">
      <c r="F3" s="170"/>
      <c r="G3" s="169" t="s">
        <v>152</v>
      </c>
    </row>
    <row r="4" spans="1:7" s="137" customFormat="1" ht="40.5" customHeight="1">
      <c r="A4" s="206" t="s">
        <v>135</v>
      </c>
      <c r="B4" s="206"/>
      <c r="C4" s="206"/>
      <c r="D4" s="206"/>
      <c r="E4" s="206"/>
      <c r="F4" s="206"/>
      <c r="G4" s="206"/>
    </row>
    <row r="5" spans="1:7" s="137" customFormat="1" ht="21" customHeight="1">
      <c r="A5" s="206" t="s">
        <v>181</v>
      </c>
      <c r="B5" s="206"/>
      <c r="C5" s="206"/>
      <c r="D5" s="206"/>
      <c r="E5" s="206"/>
      <c r="F5" s="206"/>
      <c r="G5" s="206"/>
    </row>
    <row r="6" spans="1:7" s="138" customFormat="1" ht="13.5" customHeight="1">
      <c r="A6" s="207" t="s">
        <v>86</v>
      </c>
      <c r="B6" s="207"/>
      <c r="C6" s="207"/>
      <c r="D6" s="207"/>
      <c r="E6" s="207"/>
      <c r="F6" s="207"/>
      <c r="G6" s="207"/>
    </row>
    <row r="7" spans="1:7" ht="15" customHeight="1">
      <c r="A7" s="5"/>
      <c r="B7" s="5"/>
      <c r="C7" s="5"/>
      <c r="D7" s="5"/>
      <c r="E7" s="5"/>
      <c r="F7" s="171"/>
      <c r="G7" s="19"/>
    </row>
    <row r="8" spans="1:9" s="10" customFormat="1" ht="16.5" customHeight="1">
      <c r="A8" s="195" t="s">
        <v>5</v>
      </c>
      <c r="B8" s="196" t="s">
        <v>133</v>
      </c>
      <c r="C8" s="197"/>
      <c r="D8" s="196" t="s">
        <v>141</v>
      </c>
      <c r="E8" s="197"/>
      <c r="F8" s="201" t="s">
        <v>143</v>
      </c>
      <c r="G8" s="208" t="s">
        <v>144</v>
      </c>
      <c r="H8" s="6"/>
      <c r="I8" s="6"/>
    </row>
    <row r="9" spans="1:9" s="10" customFormat="1" ht="14.25" customHeight="1">
      <c r="A9" s="195"/>
      <c r="B9" s="198" t="s">
        <v>44</v>
      </c>
      <c r="C9" s="201" t="s">
        <v>142</v>
      </c>
      <c r="D9" s="198" t="s">
        <v>44</v>
      </c>
      <c r="E9" s="201" t="s">
        <v>110</v>
      </c>
      <c r="F9" s="202"/>
      <c r="G9" s="208"/>
      <c r="H9" s="6"/>
      <c r="I9" s="6"/>
    </row>
    <row r="10" spans="1:9" s="10" customFormat="1" ht="14.25" customHeight="1">
      <c r="A10" s="195"/>
      <c r="B10" s="199"/>
      <c r="C10" s="202"/>
      <c r="D10" s="199"/>
      <c r="E10" s="202"/>
      <c r="F10" s="202"/>
      <c r="G10" s="208"/>
      <c r="H10" s="6"/>
      <c r="I10" s="6"/>
    </row>
    <row r="11" spans="1:9" s="10" customFormat="1" ht="40.5" customHeight="1">
      <c r="A11" s="195"/>
      <c r="B11" s="200"/>
      <c r="C11" s="203"/>
      <c r="D11" s="200"/>
      <c r="E11" s="203"/>
      <c r="F11" s="203"/>
      <c r="G11" s="208"/>
      <c r="H11" s="6"/>
      <c r="I11" s="6"/>
    </row>
    <row r="12" spans="1:9" s="10" customFormat="1" ht="12.75">
      <c r="A12" s="16">
        <v>1</v>
      </c>
      <c r="B12" s="16">
        <v>4</v>
      </c>
      <c r="C12" s="16">
        <v>5</v>
      </c>
      <c r="D12" s="16">
        <v>6</v>
      </c>
      <c r="E12" s="16">
        <v>7</v>
      </c>
      <c r="F12" s="16" t="s">
        <v>134</v>
      </c>
      <c r="G12" s="3">
        <v>10</v>
      </c>
      <c r="H12" s="14"/>
      <c r="I12" s="14"/>
    </row>
    <row r="13" spans="1:7" s="17" customFormat="1" ht="15.75" customHeight="1">
      <c r="A13" s="20" t="s">
        <v>8</v>
      </c>
      <c r="B13" s="38">
        <f>B15+B16</f>
        <v>14.5</v>
      </c>
      <c r="C13" s="38">
        <f>C15+C16</f>
        <v>6843.63652</v>
      </c>
      <c r="D13" s="38">
        <f>D15+D16</f>
        <v>14.5</v>
      </c>
      <c r="E13" s="38">
        <f>E15+E16</f>
        <v>7526.370000000001</v>
      </c>
      <c r="F13" s="22">
        <f>E13/C13</f>
        <v>1.0997617974018294</v>
      </c>
      <c r="G13" s="21"/>
    </row>
    <row r="14" spans="1:7" s="17" customFormat="1" ht="15.75" customHeight="1">
      <c r="A14" s="23" t="s">
        <v>7</v>
      </c>
      <c r="B14" s="39"/>
      <c r="C14" s="39"/>
      <c r="D14" s="39"/>
      <c r="E14" s="39"/>
      <c r="F14" s="24"/>
      <c r="G14" s="25"/>
    </row>
    <row r="15" spans="1:7" s="17" customFormat="1" ht="36" customHeight="1">
      <c r="A15" s="18" t="s">
        <v>84</v>
      </c>
      <c r="B15" s="39">
        <f>7.5+6+1</f>
        <v>14.5</v>
      </c>
      <c r="C15" s="39">
        <f>6437.97742+405.6591</f>
        <v>6843.63652</v>
      </c>
      <c r="D15" s="39">
        <v>14.5</v>
      </c>
      <c r="E15" s="39">
        <f>7124.39+401.98</f>
        <v>7526.370000000001</v>
      </c>
      <c r="F15" s="24">
        <f>E15/C15</f>
        <v>1.0997617974018294</v>
      </c>
      <c r="G15" s="194" t="s">
        <v>225</v>
      </c>
    </row>
    <row r="16" spans="1:7" s="17" customFormat="1" ht="15.75" customHeight="1">
      <c r="A16" s="18" t="s">
        <v>85</v>
      </c>
      <c r="B16" s="39"/>
      <c r="C16" s="39"/>
      <c r="D16" s="39"/>
      <c r="E16" s="39"/>
      <c r="F16" s="24" t="e">
        <f aca="true" t="shared" si="0" ref="F16:F60">E16/C16</f>
        <v>#DIV/0!</v>
      </c>
      <c r="G16" s="25"/>
    </row>
    <row r="17" spans="1:7" s="17" customFormat="1" ht="15.75" customHeight="1">
      <c r="A17" s="20" t="s">
        <v>45</v>
      </c>
      <c r="B17" s="38">
        <f>B19+B20</f>
        <v>0</v>
      </c>
      <c r="C17" s="38">
        <f>C19+C20</f>
        <v>0</v>
      </c>
      <c r="D17" s="38">
        <f>D19+D20</f>
        <v>0</v>
      </c>
      <c r="E17" s="38">
        <f>E19+E20</f>
        <v>0</v>
      </c>
      <c r="F17" s="22" t="e">
        <f t="shared" si="0"/>
        <v>#DIV/0!</v>
      </c>
      <c r="G17" s="21"/>
    </row>
    <row r="18" spans="1:7" s="17" customFormat="1" ht="15.75" customHeight="1">
      <c r="A18" s="23" t="s">
        <v>7</v>
      </c>
      <c r="B18" s="39"/>
      <c r="C18" s="39"/>
      <c r="D18" s="39"/>
      <c r="E18" s="39"/>
      <c r="F18" s="24"/>
      <c r="G18" s="25"/>
    </row>
    <row r="19" spans="1:7" s="17" customFormat="1" ht="15.75" customHeight="1">
      <c r="A19" s="18" t="s">
        <v>84</v>
      </c>
      <c r="B19" s="39"/>
      <c r="C19" s="39"/>
      <c r="D19" s="39"/>
      <c r="E19" s="39"/>
      <c r="F19" s="24" t="e">
        <f t="shared" si="0"/>
        <v>#DIV/0!</v>
      </c>
      <c r="G19" s="25"/>
    </row>
    <row r="20" spans="1:7" s="17" customFormat="1" ht="15.75" customHeight="1">
      <c r="A20" s="18" t="s">
        <v>85</v>
      </c>
      <c r="B20" s="39"/>
      <c r="C20" s="39"/>
      <c r="D20" s="39"/>
      <c r="E20" s="39"/>
      <c r="F20" s="24" t="e">
        <f t="shared" si="0"/>
        <v>#DIV/0!</v>
      </c>
      <c r="G20" s="25"/>
    </row>
    <row r="21" spans="1:7" s="17" customFormat="1" ht="28.5">
      <c r="A21" s="20" t="s">
        <v>46</v>
      </c>
      <c r="B21" s="38">
        <f>B23+B24</f>
        <v>0</v>
      </c>
      <c r="C21" s="38">
        <f>C23+C24</f>
        <v>0</v>
      </c>
      <c r="D21" s="38">
        <f>D23+D24</f>
        <v>0</v>
      </c>
      <c r="E21" s="38">
        <f>E23+E24</f>
        <v>0</v>
      </c>
      <c r="F21" s="22" t="e">
        <f t="shared" si="0"/>
        <v>#DIV/0!</v>
      </c>
      <c r="G21" s="21"/>
    </row>
    <row r="22" spans="1:7" s="17" customFormat="1" ht="12.75">
      <c r="A22" s="23" t="s">
        <v>7</v>
      </c>
      <c r="B22" s="39"/>
      <c r="C22" s="39"/>
      <c r="D22" s="39"/>
      <c r="E22" s="39"/>
      <c r="F22" s="24"/>
      <c r="G22" s="25"/>
    </row>
    <row r="23" spans="1:7" s="17" customFormat="1" ht="14.25" customHeight="1">
      <c r="A23" s="18" t="s">
        <v>84</v>
      </c>
      <c r="B23" s="39"/>
      <c r="C23" s="39"/>
      <c r="D23" s="39"/>
      <c r="E23" s="39"/>
      <c r="F23" s="24" t="e">
        <f t="shared" si="0"/>
        <v>#DIV/0!</v>
      </c>
      <c r="G23" s="25"/>
    </row>
    <row r="24" spans="1:7" s="17" customFormat="1" ht="14.25" customHeight="1">
      <c r="A24" s="18" t="s">
        <v>85</v>
      </c>
      <c r="B24" s="39"/>
      <c r="C24" s="39"/>
      <c r="D24" s="39"/>
      <c r="E24" s="39"/>
      <c r="F24" s="24" t="e">
        <f t="shared" si="0"/>
        <v>#DIV/0!</v>
      </c>
      <c r="G24" s="25"/>
    </row>
    <row r="25" spans="1:7" s="17" customFormat="1" ht="14.25" customHeight="1">
      <c r="A25" s="20" t="s">
        <v>47</v>
      </c>
      <c r="B25" s="38">
        <f>B27+B28</f>
        <v>0</v>
      </c>
      <c r="C25" s="38">
        <f>C27+C28</f>
        <v>0</v>
      </c>
      <c r="D25" s="38">
        <f>D27+D28</f>
        <v>0</v>
      </c>
      <c r="E25" s="38">
        <f>E27+E28</f>
        <v>0</v>
      </c>
      <c r="F25" s="22" t="e">
        <f t="shared" si="0"/>
        <v>#DIV/0!</v>
      </c>
      <c r="G25" s="21"/>
    </row>
    <row r="26" spans="1:7" s="17" customFormat="1" ht="14.25" customHeight="1">
      <c r="A26" s="23" t="s">
        <v>7</v>
      </c>
      <c r="B26" s="39"/>
      <c r="C26" s="39"/>
      <c r="D26" s="39"/>
      <c r="E26" s="39"/>
      <c r="F26" s="24"/>
      <c r="G26" s="25"/>
    </row>
    <row r="27" spans="1:7" s="17" customFormat="1" ht="14.25" customHeight="1">
      <c r="A27" s="18" t="s">
        <v>84</v>
      </c>
      <c r="B27" s="39"/>
      <c r="C27" s="39"/>
      <c r="D27" s="39"/>
      <c r="E27" s="39"/>
      <c r="F27" s="24" t="e">
        <f t="shared" si="0"/>
        <v>#DIV/0!</v>
      </c>
      <c r="G27" s="25"/>
    </row>
    <row r="28" spans="1:7" s="17" customFormat="1" ht="14.25" customHeight="1">
      <c r="A28" s="18" t="s">
        <v>85</v>
      </c>
      <c r="B28" s="39"/>
      <c r="C28" s="39"/>
      <c r="D28" s="39"/>
      <c r="E28" s="39"/>
      <c r="F28" s="24" t="e">
        <f t="shared" si="0"/>
        <v>#DIV/0!</v>
      </c>
      <c r="G28" s="25"/>
    </row>
    <row r="29" spans="1:7" s="17" customFormat="1" ht="14.25" customHeight="1">
      <c r="A29" s="20" t="s">
        <v>48</v>
      </c>
      <c r="B29" s="38">
        <f>B31+B32</f>
        <v>3.5</v>
      </c>
      <c r="C29" s="38">
        <f>C31+C32</f>
        <v>598.03</v>
      </c>
      <c r="D29" s="38">
        <f>D31+D32</f>
        <v>3.5</v>
      </c>
      <c r="E29" s="38">
        <f>E31+E32</f>
        <v>961.6</v>
      </c>
      <c r="F29" s="22">
        <f t="shared" si="0"/>
        <v>1.607946089661054</v>
      </c>
      <c r="G29" s="21"/>
    </row>
    <row r="30" spans="1:7" s="17" customFormat="1" ht="14.25" customHeight="1">
      <c r="A30" s="23" t="s">
        <v>7</v>
      </c>
      <c r="B30" s="39"/>
      <c r="C30" s="39"/>
      <c r="D30" s="39"/>
      <c r="E30" s="39"/>
      <c r="F30" s="24" t="e">
        <f t="shared" si="0"/>
        <v>#DIV/0!</v>
      </c>
      <c r="G30" s="25"/>
    </row>
    <row r="31" spans="1:7" s="17" customFormat="1" ht="56.25" customHeight="1">
      <c r="A31" s="18" t="s">
        <v>84</v>
      </c>
      <c r="B31" s="39">
        <v>3.5</v>
      </c>
      <c r="C31" s="39">
        <v>598.03</v>
      </c>
      <c r="D31" s="39">
        <v>3.5</v>
      </c>
      <c r="E31" s="39">
        <v>961.6</v>
      </c>
      <c r="F31" s="24">
        <f t="shared" si="0"/>
        <v>1.607946089661054</v>
      </c>
      <c r="G31" s="194" t="s">
        <v>226</v>
      </c>
    </row>
    <row r="32" spans="1:7" s="17" customFormat="1" ht="14.25" customHeight="1">
      <c r="A32" s="18" t="s">
        <v>85</v>
      </c>
      <c r="B32" s="39"/>
      <c r="C32" s="39"/>
      <c r="D32" s="39"/>
      <c r="E32" s="39"/>
      <c r="F32" s="24" t="e">
        <f t="shared" si="0"/>
        <v>#DIV/0!</v>
      </c>
      <c r="G32" s="25"/>
    </row>
    <row r="33" spans="1:7" s="17" customFormat="1" ht="14.25" customHeight="1">
      <c r="A33" s="20" t="s">
        <v>49</v>
      </c>
      <c r="B33" s="38">
        <f>B35+B36</f>
        <v>0</v>
      </c>
      <c r="C33" s="38">
        <f>C35+C36</f>
        <v>0</v>
      </c>
      <c r="D33" s="38">
        <f>D35+D36</f>
        <v>0</v>
      </c>
      <c r="E33" s="38">
        <f>E35+E36</f>
        <v>0</v>
      </c>
      <c r="F33" s="22" t="e">
        <f t="shared" si="0"/>
        <v>#DIV/0!</v>
      </c>
      <c r="G33" s="21"/>
    </row>
    <row r="34" spans="1:7" s="17" customFormat="1" ht="14.25" customHeight="1">
      <c r="A34" s="23" t="s">
        <v>7</v>
      </c>
      <c r="B34" s="39"/>
      <c r="C34" s="39"/>
      <c r="D34" s="39"/>
      <c r="E34" s="39"/>
      <c r="F34" s="24"/>
      <c r="G34" s="25"/>
    </row>
    <row r="35" spans="1:7" s="17" customFormat="1" ht="14.25" customHeight="1">
      <c r="A35" s="18" t="s">
        <v>84</v>
      </c>
      <c r="B35" s="39"/>
      <c r="C35" s="39"/>
      <c r="D35" s="39"/>
      <c r="E35" s="39"/>
      <c r="F35" s="24" t="e">
        <f t="shared" si="0"/>
        <v>#DIV/0!</v>
      </c>
      <c r="G35" s="25"/>
    </row>
    <row r="36" spans="1:7" s="17" customFormat="1" ht="15" customHeight="1">
      <c r="A36" s="18" t="s">
        <v>85</v>
      </c>
      <c r="B36" s="39"/>
      <c r="C36" s="39"/>
      <c r="D36" s="39"/>
      <c r="E36" s="39"/>
      <c r="F36" s="24" t="e">
        <f t="shared" si="0"/>
        <v>#DIV/0!</v>
      </c>
      <c r="G36" s="25"/>
    </row>
    <row r="37" spans="1:7" s="17" customFormat="1" ht="15" customHeight="1">
      <c r="A37" s="20" t="s">
        <v>50</v>
      </c>
      <c r="B37" s="38">
        <f>B39+B40</f>
        <v>30.1</v>
      </c>
      <c r="C37" s="38">
        <f>C39+C40</f>
        <v>10986.357960000001</v>
      </c>
      <c r="D37" s="38">
        <f>D39+D40</f>
        <v>30.1</v>
      </c>
      <c r="E37" s="38">
        <f>E39+E40</f>
        <v>12696.96</v>
      </c>
      <c r="F37" s="22">
        <f t="shared" si="0"/>
        <v>1.15570237618582</v>
      </c>
      <c r="G37" s="21"/>
    </row>
    <row r="38" spans="1:7" s="17" customFormat="1" ht="15" customHeight="1">
      <c r="A38" s="23" t="s">
        <v>7</v>
      </c>
      <c r="B38" s="39"/>
      <c r="C38" s="39"/>
      <c r="D38" s="39"/>
      <c r="E38" s="39"/>
      <c r="F38" s="24"/>
      <c r="G38" s="25"/>
    </row>
    <row r="39" spans="1:7" s="17" customFormat="1" ht="15" customHeight="1">
      <c r="A39" s="18" t="s">
        <v>84</v>
      </c>
      <c r="B39" s="39">
        <v>4.6</v>
      </c>
      <c r="C39" s="39">
        <v>2045.307</v>
      </c>
      <c r="D39" s="39">
        <v>4.6</v>
      </c>
      <c r="E39" s="39">
        <v>2043.58</v>
      </c>
      <c r="F39" s="24">
        <f t="shared" si="0"/>
        <v>0.9991556279815206</v>
      </c>
      <c r="G39" s="25"/>
    </row>
    <row r="40" spans="1:7" s="17" customFormat="1" ht="54" customHeight="1">
      <c r="A40" s="18" t="s">
        <v>85</v>
      </c>
      <c r="B40" s="39">
        <v>25.5</v>
      </c>
      <c r="C40" s="39">
        <v>8941.05096</v>
      </c>
      <c r="D40" s="39">
        <v>25.5</v>
      </c>
      <c r="E40" s="39">
        <v>10653.38</v>
      </c>
      <c r="F40" s="24">
        <f t="shared" si="0"/>
        <v>1.19151317307781</v>
      </c>
      <c r="G40" s="194" t="s">
        <v>227</v>
      </c>
    </row>
    <row r="41" spans="1:7" s="17" customFormat="1" ht="15" customHeight="1">
      <c r="A41" s="20" t="s">
        <v>51</v>
      </c>
      <c r="B41" s="38">
        <f>B43+B44</f>
        <v>27</v>
      </c>
      <c r="C41" s="38">
        <f>C43+C44</f>
        <v>7345.85443</v>
      </c>
      <c r="D41" s="38">
        <f>D43+D44</f>
        <v>27</v>
      </c>
      <c r="E41" s="38">
        <f>E43+E44</f>
        <v>9486.86</v>
      </c>
      <c r="F41" s="22">
        <f t="shared" si="0"/>
        <v>1.2914576636934527</v>
      </c>
      <c r="G41" s="21"/>
    </row>
    <row r="42" spans="1:7" s="10" customFormat="1" ht="15" customHeight="1">
      <c r="A42" s="23" t="s">
        <v>7</v>
      </c>
      <c r="B42" s="39"/>
      <c r="C42" s="39"/>
      <c r="D42" s="39"/>
      <c r="E42" s="39"/>
      <c r="F42" s="24"/>
      <c r="G42" s="26"/>
    </row>
    <row r="43" spans="1:7" s="17" customFormat="1" ht="37.5" customHeight="1">
      <c r="A43" s="18" t="s">
        <v>84</v>
      </c>
      <c r="B43" s="39">
        <v>27</v>
      </c>
      <c r="C43" s="39">
        <v>7345.85443</v>
      </c>
      <c r="D43" s="39">
        <v>27</v>
      </c>
      <c r="E43" s="39">
        <v>9486.86</v>
      </c>
      <c r="F43" s="24">
        <f t="shared" si="0"/>
        <v>1.2914576636934527</v>
      </c>
      <c r="G43" s="194" t="s">
        <v>228</v>
      </c>
    </row>
    <row r="44" spans="1:7" s="10" customFormat="1" ht="15" customHeight="1">
      <c r="A44" s="18" t="s">
        <v>85</v>
      </c>
      <c r="B44" s="39"/>
      <c r="C44" s="39"/>
      <c r="D44" s="39"/>
      <c r="E44" s="39"/>
      <c r="F44" s="24" t="e">
        <f t="shared" si="0"/>
        <v>#DIV/0!</v>
      </c>
      <c r="G44" s="26"/>
    </row>
    <row r="45" spans="1:7" s="10" customFormat="1" ht="15" customHeight="1">
      <c r="A45" s="20" t="s">
        <v>52</v>
      </c>
      <c r="B45" s="38">
        <f>B47+B48</f>
        <v>0</v>
      </c>
      <c r="C45" s="38">
        <f>C47+C48</f>
        <v>0</v>
      </c>
      <c r="D45" s="38">
        <f>D47+D48</f>
        <v>0</v>
      </c>
      <c r="E45" s="38">
        <f>E47+E48</f>
        <v>0</v>
      </c>
      <c r="F45" s="22" t="e">
        <f t="shared" si="0"/>
        <v>#DIV/0!</v>
      </c>
      <c r="G45" s="21"/>
    </row>
    <row r="46" spans="1:7" s="10" customFormat="1" ht="15" customHeight="1">
      <c r="A46" s="23" t="s">
        <v>7</v>
      </c>
      <c r="B46" s="39"/>
      <c r="C46" s="39"/>
      <c r="D46" s="39"/>
      <c r="E46" s="39"/>
      <c r="F46" s="24"/>
      <c r="G46" s="26"/>
    </row>
    <row r="47" spans="1:7" s="10" customFormat="1" ht="15" customHeight="1">
      <c r="A47" s="18" t="s">
        <v>84</v>
      </c>
      <c r="B47" s="39"/>
      <c r="C47" s="39"/>
      <c r="D47" s="39"/>
      <c r="E47" s="39"/>
      <c r="F47" s="24" t="e">
        <f t="shared" si="0"/>
        <v>#DIV/0!</v>
      </c>
      <c r="G47" s="26"/>
    </row>
    <row r="48" spans="1:7" s="10" customFormat="1" ht="15" customHeight="1">
      <c r="A48" s="18" t="s">
        <v>85</v>
      </c>
      <c r="B48" s="39"/>
      <c r="C48" s="39"/>
      <c r="D48" s="39"/>
      <c r="E48" s="39"/>
      <c r="F48" s="24" t="e">
        <f t="shared" si="0"/>
        <v>#DIV/0!</v>
      </c>
      <c r="G48" s="26"/>
    </row>
    <row r="49" spans="1:7" s="10" customFormat="1" ht="15" customHeight="1">
      <c r="A49" s="20" t="s">
        <v>53</v>
      </c>
      <c r="B49" s="38">
        <f>B51+B52</f>
        <v>0</v>
      </c>
      <c r="C49" s="38">
        <f>C51+C52</f>
        <v>35.3</v>
      </c>
      <c r="D49" s="38">
        <f>D51+D52</f>
        <v>0.2</v>
      </c>
      <c r="E49" s="38">
        <f>E51+E52</f>
        <v>75.81</v>
      </c>
      <c r="F49" s="22">
        <f t="shared" si="0"/>
        <v>2.147592067988669</v>
      </c>
      <c r="G49" s="21"/>
    </row>
    <row r="50" spans="1:7" s="10" customFormat="1" ht="15" customHeight="1">
      <c r="A50" s="23" t="s">
        <v>7</v>
      </c>
      <c r="B50" s="39"/>
      <c r="C50" s="39"/>
      <c r="D50" s="39"/>
      <c r="E50" s="39"/>
      <c r="F50" s="24"/>
      <c r="G50" s="26"/>
    </row>
    <row r="51" spans="1:7" s="10" customFormat="1" ht="66" customHeight="1">
      <c r="A51" s="18" t="s">
        <v>84</v>
      </c>
      <c r="B51" s="39">
        <v>0</v>
      </c>
      <c r="C51" s="39">
        <v>35.3</v>
      </c>
      <c r="D51" s="39">
        <v>0.2</v>
      </c>
      <c r="E51" s="39">
        <v>75.81</v>
      </c>
      <c r="F51" s="24">
        <f t="shared" si="0"/>
        <v>2.147592067988669</v>
      </c>
      <c r="G51" s="194" t="s">
        <v>229</v>
      </c>
    </row>
    <row r="52" spans="1:7" s="10" customFormat="1" ht="15" customHeight="1">
      <c r="A52" s="18" t="s">
        <v>85</v>
      </c>
      <c r="B52" s="39"/>
      <c r="C52" s="39"/>
      <c r="D52" s="39"/>
      <c r="E52" s="39"/>
      <c r="F52" s="24" t="e">
        <f t="shared" si="0"/>
        <v>#DIV/0!</v>
      </c>
      <c r="G52" s="26"/>
    </row>
    <row r="53" spans="1:7" s="10" customFormat="1" ht="15" customHeight="1">
      <c r="A53" s="20" t="s">
        <v>54</v>
      </c>
      <c r="B53" s="38">
        <f>B55+B56</f>
        <v>4</v>
      </c>
      <c r="C53" s="38">
        <f>C55+C56</f>
        <v>907.14974</v>
      </c>
      <c r="D53" s="38">
        <f>D55+D56</f>
        <v>4</v>
      </c>
      <c r="E53" s="38">
        <f>E55+E56</f>
        <v>1565.69</v>
      </c>
      <c r="F53" s="22">
        <f t="shared" si="0"/>
        <v>1.725944384881817</v>
      </c>
      <c r="G53" s="21"/>
    </row>
    <row r="54" spans="1:7" s="10" customFormat="1" ht="15" customHeight="1">
      <c r="A54" s="23" t="s">
        <v>7</v>
      </c>
      <c r="B54" s="39"/>
      <c r="C54" s="39"/>
      <c r="D54" s="39"/>
      <c r="E54" s="39"/>
      <c r="F54" s="24"/>
      <c r="G54" s="26"/>
    </row>
    <row r="55" spans="1:7" s="10" customFormat="1" ht="66.75" customHeight="1">
      <c r="A55" s="18" t="s">
        <v>84</v>
      </c>
      <c r="B55" s="39">
        <v>4</v>
      </c>
      <c r="C55" s="39">
        <v>907.14974</v>
      </c>
      <c r="D55" s="39">
        <v>4</v>
      </c>
      <c r="E55" s="39">
        <v>1565.69</v>
      </c>
      <c r="F55" s="24">
        <f t="shared" si="0"/>
        <v>1.725944384881817</v>
      </c>
      <c r="G55" s="194" t="s">
        <v>230</v>
      </c>
    </row>
    <row r="56" spans="1:7" s="10" customFormat="1" ht="15" customHeight="1">
      <c r="A56" s="18" t="s">
        <v>85</v>
      </c>
      <c r="B56" s="39"/>
      <c r="C56" s="39"/>
      <c r="D56" s="39"/>
      <c r="E56" s="39"/>
      <c r="F56" s="24" t="e">
        <f t="shared" si="0"/>
        <v>#DIV/0!</v>
      </c>
      <c r="G56" s="26"/>
    </row>
    <row r="57" spans="1:7" s="10" customFormat="1" ht="15" customHeight="1">
      <c r="A57" s="20" t="s">
        <v>55</v>
      </c>
      <c r="B57" s="38">
        <f>B59+B60</f>
        <v>79.1</v>
      </c>
      <c r="C57" s="38">
        <f>C59+C60</f>
        <v>26716.32865</v>
      </c>
      <c r="D57" s="38">
        <f>D59+D60</f>
        <v>79.30000000000001</v>
      </c>
      <c r="E57" s="38">
        <f>E59+E60</f>
        <v>32313.29</v>
      </c>
      <c r="F57" s="22">
        <f t="shared" si="0"/>
        <v>1.2094959013015436</v>
      </c>
      <c r="G57" s="21"/>
    </row>
    <row r="58" spans="1:7" s="10" customFormat="1" ht="15" customHeight="1">
      <c r="A58" s="23" t="s">
        <v>7</v>
      </c>
      <c r="B58" s="39"/>
      <c r="C58" s="39"/>
      <c r="D58" s="39"/>
      <c r="E58" s="39"/>
      <c r="F58" s="24"/>
      <c r="G58" s="26"/>
    </row>
    <row r="59" spans="1:7" s="10" customFormat="1" ht="15" customHeight="1">
      <c r="A59" s="18" t="s">
        <v>84</v>
      </c>
      <c r="B59" s="40">
        <f aca="true" t="shared" si="1" ref="B59:E60">B15+B19+B23+B27+B31+B35+B39+B43+B47+B51+B55</f>
        <v>53.6</v>
      </c>
      <c r="C59" s="40">
        <f t="shared" si="1"/>
        <v>17775.27769</v>
      </c>
      <c r="D59" s="40">
        <f t="shared" si="1"/>
        <v>53.800000000000004</v>
      </c>
      <c r="E59" s="40">
        <f t="shared" si="1"/>
        <v>21659.910000000003</v>
      </c>
      <c r="F59" s="24">
        <f t="shared" si="0"/>
        <v>1.2185413008869852</v>
      </c>
      <c r="G59" s="26"/>
    </row>
    <row r="60" spans="1:7" s="10" customFormat="1" ht="15" customHeight="1">
      <c r="A60" s="18" t="s">
        <v>85</v>
      </c>
      <c r="B60" s="39">
        <f t="shared" si="1"/>
        <v>25.5</v>
      </c>
      <c r="C60" s="39">
        <f t="shared" si="1"/>
        <v>8941.05096</v>
      </c>
      <c r="D60" s="39">
        <f t="shared" si="1"/>
        <v>25.5</v>
      </c>
      <c r="E60" s="39">
        <f t="shared" si="1"/>
        <v>10653.38</v>
      </c>
      <c r="F60" s="24">
        <f t="shared" si="0"/>
        <v>1.19151317307781</v>
      </c>
      <c r="G60" s="26"/>
    </row>
    <row r="61" spans="1:10" s="1" customFormat="1" ht="28.5" customHeight="1">
      <c r="A61" s="189" t="s">
        <v>2</v>
      </c>
      <c r="B61" s="9"/>
      <c r="C61" s="158"/>
      <c r="D61" s="158"/>
      <c r="E61" s="12"/>
      <c r="G61" s="190" t="s">
        <v>201</v>
      </c>
      <c r="J61" s="12"/>
    </row>
    <row r="62" spans="3:14" s="1" customFormat="1" ht="28.5" customHeight="1">
      <c r="C62" s="205" t="s">
        <v>103</v>
      </c>
      <c r="D62" s="205"/>
      <c r="E62" s="205"/>
      <c r="F62" s="15"/>
      <c r="G62" s="191" t="s">
        <v>104</v>
      </c>
      <c r="H62" s="10"/>
      <c r="I62" s="10"/>
      <c r="J62" s="10"/>
      <c r="K62" s="10"/>
      <c r="L62" s="10"/>
      <c r="M62" s="10"/>
      <c r="N62" s="10"/>
    </row>
    <row r="63" spans="1:14" s="1" customFormat="1" ht="28.5" customHeight="1">
      <c r="A63" s="14" t="s">
        <v>224</v>
      </c>
      <c r="B63" s="14"/>
      <c r="E63" s="12"/>
      <c r="G63" s="14"/>
      <c r="H63" s="10"/>
      <c r="I63" s="10"/>
      <c r="J63" s="10"/>
      <c r="K63" s="10"/>
      <c r="L63" s="10"/>
      <c r="M63" s="10"/>
      <c r="N63" s="10"/>
    </row>
    <row r="64" s="10" customFormat="1" ht="12.75">
      <c r="A64" s="10" t="s">
        <v>136</v>
      </c>
    </row>
    <row r="65" s="10" customFormat="1" ht="12.75"/>
    <row r="66" s="10" customFormat="1" ht="12.75"/>
    <row r="67" s="10" customFormat="1" ht="12.75"/>
    <row r="68" spans="8:14" s="10" customFormat="1" ht="12.75">
      <c r="H68" s="15"/>
      <c r="I68" s="15"/>
      <c r="J68" s="15"/>
      <c r="K68" s="15"/>
      <c r="L68" s="15"/>
      <c r="M68" s="15"/>
      <c r="N68" s="15"/>
    </row>
    <row r="69" spans="8:14" s="10" customFormat="1" ht="12.75">
      <c r="H69" s="15"/>
      <c r="I69" s="15"/>
      <c r="J69" s="15"/>
      <c r="K69" s="15"/>
      <c r="L69" s="15"/>
      <c r="M69" s="15"/>
      <c r="N69" s="15"/>
    </row>
  </sheetData>
  <sheetProtection/>
  <mergeCells count="15">
    <mergeCell ref="F2:G2"/>
    <mergeCell ref="F8:F11"/>
    <mergeCell ref="C62:E62"/>
    <mergeCell ref="F1:G1"/>
    <mergeCell ref="A4:G4"/>
    <mergeCell ref="A5:G5"/>
    <mergeCell ref="A6:G6"/>
    <mergeCell ref="G8:G11"/>
    <mergeCell ref="A8:A11"/>
    <mergeCell ref="D8:E8"/>
    <mergeCell ref="D9:D11"/>
    <mergeCell ref="E9:E11"/>
    <mergeCell ref="C9:C11"/>
    <mergeCell ref="B8:C8"/>
    <mergeCell ref="B9:B11"/>
  </mergeCells>
  <printOptions/>
  <pageMargins left="0.1968503937007874" right="0.1968503937007874" top="0.1968503937007874" bottom="0.1968503937007874" header="0.3937007874015748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SheetLayoutView="100" workbookViewId="0" topLeftCell="A1">
      <selection activeCell="A18" sqref="A18"/>
    </sheetView>
  </sheetViews>
  <sheetFormatPr defaultColWidth="8.875" defaultRowHeight="12.75"/>
  <cols>
    <col min="1" max="1" width="37.75390625" style="1" customWidth="1"/>
    <col min="2" max="2" width="10.875" style="1" customWidth="1"/>
    <col min="3" max="6" width="10.25390625" style="1" customWidth="1"/>
    <col min="7" max="7" width="10.875" style="1" customWidth="1"/>
    <col min="8" max="11" width="10.25390625" style="1" customWidth="1"/>
    <col min="12" max="12" width="14.75390625" style="1" customWidth="1"/>
    <col min="13" max="13" width="12.625" style="1" customWidth="1"/>
    <col min="14" max="16384" width="8.875" style="1" customWidth="1"/>
  </cols>
  <sheetData>
    <row r="1" spans="8:14" ht="21" customHeight="1">
      <c r="H1" s="7"/>
      <c r="L1" s="169" t="s">
        <v>153</v>
      </c>
      <c r="M1" s="168"/>
      <c r="N1" s="8"/>
    </row>
    <row r="2" spans="1:13" ht="18.75">
      <c r="A2" s="221" t="s">
        <v>107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23.25" customHeight="1">
      <c r="A3" s="218" t="s">
        <v>181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2:13" ht="17.25" customHeight="1">
      <c r="B4" s="139"/>
      <c r="C4" s="219" t="s">
        <v>6</v>
      </c>
      <c r="D4" s="219"/>
      <c r="E4" s="219"/>
      <c r="F4" s="219"/>
      <c r="G4" s="219"/>
      <c r="H4" s="219"/>
      <c r="I4" s="149"/>
      <c r="J4" s="149"/>
      <c r="K4" s="149"/>
      <c r="L4" s="139"/>
      <c r="M4" s="139"/>
    </row>
    <row r="5" spans="1:13" ht="17.25" customHeight="1">
      <c r="A5" s="225" t="s">
        <v>96</v>
      </c>
      <c r="B5" s="213" t="s">
        <v>145</v>
      </c>
      <c r="C5" s="215"/>
      <c r="D5" s="215"/>
      <c r="E5" s="215"/>
      <c r="F5" s="215"/>
      <c r="G5" s="213" t="s">
        <v>146</v>
      </c>
      <c r="H5" s="214"/>
      <c r="I5" s="215"/>
      <c r="J5" s="215"/>
      <c r="K5" s="215"/>
      <c r="L5" s="195" t="s">
        <v>147</v>
      </c>
      <c r="M5" s="195" t="s">
        <v>148</v>
      </c>
    </row>
    <row r="6" spans="1:13" ht="15" customHeight="1">
      <c r="A6" s="225"/>
      <c r="B6" s="222" t="s">
        <v>101</v>
      </c>
      <c r="C6" s="222" t="s">
        <v>106</v>
      </c>
      <c r="D6" s="213" t="s">
        <v>1</v>
      </c>
      <c r="E6" s="214"/>
      <c r="F6" s="216"/>
      <c r="G6" s="195" t="s">
        <v>102</v>
      </c>
      <c r="H6" s="222" t="s">
        <v>106</v>
      </c>
      <c r="I6" s="213" t="s">
        <v>1</v>
      </c>
      <c r="J6" s="214"/>
      <c r="K6" s="214"/>
      <c r="L6" s="212"/>
      <c r="M6" s="212"/>
    </row>
    <row r="7" spans="1:13" ht="15" customHeight="1">
      <c r="A7" s="225"/>
      <c r="B7" s="223"/>
      <c r="C7" s="223"/>
      <c r="D7" s="210" t="s">
        <v>108</v>
      </c>
      <c r="E7" s="195" t="s">
        <v>1</v>
      </c>
      <c r="F7" s="195"/>
      <c r="G7" s="195"/>
      <c r="H7" s="223"/>
      <c r="I7" s="210" t="s">
        <v>109</v>
      </c>
      <c r="J7" s="195" t="s">
        <v>1</v>
      </c>
      <c r="K7" s="195"/>
      <c r="L7" s="212"/>
      <c r="M7" s="212"/>
    </row>
    <row r="8" spans="1:19" ht="53.25" customHeight="1">
      <c r="A8" s="225"/>
      <c r="B8" s="226"/>
      <c r="C8" s="224"/>
      <c r="D8" s="211"/>
      <c r="E8" s="150" t="s">
        <v>9</v>
      </c>
      <c r="F8" s="150" t="s">
        <v>0</v>
      </c>
      <c r="G8" s="220"/>
      <c r="H8" s="224"/>
      <c r="I8" s="211"/>
      <c r="J8" s="150" t="s">
        <v>9</v>
      </c>
      <c r="K8" s="151" t="s">
        <v>0</v>
      </c>
      <c r="L8" s="212"/>
      <c r="M8" s="212"/>
      <c r="S8" s="154"/>
    </row>
    <row r="9" spans="1:13" s="153" customFormat="1" ht="11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</row>
    <row r="10" spans="1:19" ht="18" customHeight="1">
      <c r="A10" s="155" t="s">
        <v>105</v>
      </c>
      <c r="B10" s="172">
        <v>37</v>
      </c>
      <c r="C10" s="183">
        <v>25659.2058</v>
      </c>
      <c r="D10" s="183">
        <f>E10+F10</f>
        <v>22369.618</v>
      </c>
      <c r="E10" s="183">
        <f>E11+E14</f>
        <v>17205.208</v>
      </c>
      <c r="F10" s="183">
        <f>F11+F14</f>
        <v>5164.41</v>
      </c>
      <c r="G10" s="172">
        <v>37</v>
      </c>
      <c r="H10" s="183">
        <f>28552.32775+320.9+96.96</f>
        <v>28970.18775</v>
      </c>
      <c r="I10" s="183">
        <f>J10+K10</f>
        <v>22570.72232</v>
      </c>
      <c r="J10" s="183">
        <f>J11+J14</f>
        <v>17368.42322</v>
      </c>
      <c r="K10" s="183">
        <f>K11+K14</f>
        <v>5202.2991</v>
      </c>
      <c r="L10" s="152">
        <f>H10/C10</f>
        <v>1.1290368055740838</v>
      </c>
      <c r="M10" s="152">
        <f>I10/D10</f>
        <v>1.0089900650069215</v>
      </c>
      <c r="S10" s="154"/>
    </row>
    <row r="11" spans="1:13" ht="37.5" customHeight="1">
      <c r="A11" s="156" t="s">
        <v>97</v>
      </c>
      <c r="B11" s="41" t="s">
        <v>3</v>
      </c>
      <c r="C11" s="184" t="s">
        <v>3</v>
      </c>
      <c r="D11" s="183">
        <f>E11+F11</f>
        <v>17428.133</v>
      </c>
      <c r="E11" s="184">
        <f>E12+E13</f>
        <v>13407.528</v>
      </c>
      <c r="F11" s="184">
        <f>F12+F13</f>
        <v>4020.6049999999996</v>
      </c>
      <c r="G11" s="41" t="s">
        <v>3</v>
      </c>
      <c r="H11" s="184" t="s">
        <v>3</v>
      </c>
      <c r="I11" s="183">
        <f>J11+K11</f>
        <v>17635.0127</v>
      </c>
      <c r="J11" s="184">
        <f>J12+J13</f>
        <v>13576.0536</v>
      </c>
      <c r="K11" s="184">
        <f>K12+K13</f>
        <v>4058.9591</v>
      </c>
      <c r="L11" s="152" t="s">
        <v>3</v>
      </c>
      <c r="M11" s="152">
        <f>I11/D11</f>
        <v>1.0118704453311205</v>
      </c>
    </row>
    <row r="12" spans="1:13" ht="15.75" customHeight="1">
      <c r="A12" s="157" t="s">
        <v>98</v>
      </c>
      <c r="B12" s="159" t="s">
        <v>3</v>
      </c>
      <c r="C12" s="185" t="s">
        <v>3</v>
      </c>
      <c r="D12" s="186">
        <f>E12+F12</f>
        <v>1873.94</v>
      </c>
      <c r="E12" s="187">
        <f>1202+274.2</f>
        <v>1476.2</v>
      </c>
      <c r="F12" s="187">
        <f>315+82.74</f>
        <v>397.74</v>
      </c>
      <c r="G12" s="159" t="s">
        <v>3</v>
      </c>
      <c r="H12" s="185" t="s">
        <v>3</v>
      </c>
      <c r="I12" s="186">
        <f>J12+K12</f>
        <v>2231.8</v>
      </c>
      <c r="J12" s="187">
        <f>1411.1+320.9</f>
        <v>1732</v>
      </c>
      <c r="K12" s="187">
        <f>402.84+96.96</f>
        <v>499.79999999999995</v>
      </c>
      <c r="L12" s="160" t="s">
        <v>3</v>
      </c>
      <c r="M12" s="160">
        <f>I12/D12</f>
        <v>1.1909666264661622</v>
      </c>
    </row>
    <row r="13" spans="1:13" ht="15.75" customHeight="1">
      <c r="A13" s="157" t="s">
        <v>99</v>
      </c>
      <c r="B13" s="159" t="s">
        <v>3</v>
      </c>
      <c r="C13" s="185" t="s">
        <v>3</v>
      </c>
      <c r="D13" s="186">
        <f>E13+F13</f>
        <v>15554.193</v>
      </c>
      <c r="E13" s="187">
        <v>11931.328</v>
      </c>
      <c r="F13" s="187">
        <v>3622.865</v>
      </c>
      <c r="G13" s="159" t="s">
        <v>3</v>
      </c>
      <c r="H13" s="185" t="s">
        <v>3</v>
      </c>
      <c r="I13" s="186">
        <f>J13+K13</f>
        <v>15403.2127</v>
      </c>
      <c r="J13" s="187">
        <v>11844.0536</v>
      </c>
      <c r="K13" s="187">
        <v>3559.1591</v>
      </c>
      <c r="L13" s="160" t="s">
        <v>3</v>
      </c>
      <c r="M13" s="160">
        <f>I13/D13</f>
        <v>0.9902932733315062</v>
      </c>
    </row>
    <row r="14" spans="1:13" ht="45.75" customHeight="1">
      <c r="A14" s="156" t="s">
        <v>100</v>
      </c>
      <c r="B14" s="41" t="s">
        <v>3</v>
      </c>
      <c r="C14" s="184" t="s">
        <v>3</v>
      </c>
      <c r="D14" s="183">
        <f>E14+F14</f>
        <v>4941.485</v>
      </c>
      <c r="E14" s="188">
        <v>3797.68</v>
      </c>
      <c r="F14" s="188">
        <v>1143.805</v>
      </c>
      <c r="G14" s="41" t="s">
        <v>3</v>
      </c>
      <c r="H14" s="184" t="s">
        <v>3</v>
      </c>
      <c r="I14" s="183">
        <f>J14+K14</f>
        <v>4935.70962</v>
      </c>
      <c r="J14" s="188">
        <v>3792.36962</v>
      </c>
      <c r="K14" s="188">
        <v>1143.34</v>
      </c>
      <c r="L14" s="152" t="s">
        <v>3</v>
      </c>
      <c r="M14" s="152">
        <f>I14/D14</f>
        <v>0.9988312460727898</v>
      </c>
    </row>
    <row r="15" spans="1:12" ht="12.75">
      <c r="A15" s="11"/>
      <c r="B15" s="11"/>
      <c r="C15" s="12"/>
      <c r="D15" s="12"/>
      <c r="E15" s="12"/>
      <c r="F15" s="12"/>
      <c r="G15" s="11"/>
      <c r="H15" s="12"/>
      <c r="I15" s="12"/>
      <c r="J15" s="12"/>
      <c r="K15" s="12"/>
      <c r="L15" s="13"/>
    </row>
    <row r="16" spans="1:11" ht="15.75">
      <c r="A16" s="9" t="s">
        <v>2</v>
      </c>
      <c r="B16" s="9"/>
      <c r="C16" s="158"/>
      <c r="D16" s="158"/>
      <c r="E16" s="12"/>
      <c r="G16" s="217" t="s">
        <v>201</v>
      </c>
      <c r="H16" s="217"/>
      <c r="I16" s="217"/>
      <c r="J16" s="217"/>
      <c r="K16" s="217"/>
    </row>
    <row r="17" spans="3:11" ht="12.75">
      <c r="C17" s="209" t="s">
        <v>103</v>
      </c>
      <c r="D17" s="209"/>
      <c r="E17" s="209"/>
      <c r="F17" s="15"/>
      <c r="G17" s="209" t="s">
        <v>104</v>
      </c>
      <c r="H17" s="209"/>
      <c r="I17" s="209"/>
      <c r="J17" s="209"/>
      <c r="K17" s="209"/>
    </row>
    <row r="18" spans="1:10" ht="12.75">
      <c r="A18" s="14" t="s">
        <v>224</v>
      </c>
      <c r="B18" s="14"/>
      <c r="E18" s="12"/>
      <c r="G18" s="14"/>
      <c r="J18" s="12"/>
    </row>
    <row r="19" ht="12.75">
      <c r="J19" s="173"/>
    </row>
  </sheetData>
  <sheetProtection/>
  <mergeCells count="21">
    <mergeCell ref="A2:M2"/>
    <mergeCell ref="M5:M8"/>
    <mergeCell ref="C6:C8"/>
    <mergeCell ref="A5:A8"/>
    <mergeCell ref="H6:H8"/>
    <mergeCell ref="B6:B8"/>
    <mergeCell ref="A3:M3"/>
    <mergeCell ref="J7:K7"/>
    <mergeCell ref="I6:K6"/>
    <mergeCell ref="C4:H4"/>
    <mergeCell ref="B5:F5"/>
    <mergeCell ref="G6:G8"/>
    <mergeCell ref="C17:E17"/>
    <mergeCell ref="G17:K17"/>
    <mergeCell ref="D7:D8"/>
    <mergeCell ref="E7:F7"/>
    <mergeCell ref="I7:I8"/>
    <mergeCell ref="L5:L8"/>
    <mergeCell ref="G5:K5"/>
    <mergeCell ref="D6:F6"/>
    <mergeCell ref="G16:K16"/>
  </mergeCells>
  <printOptions/>
  <pageMargins left="0.39" right="0.25" top="0.4" bottom="0.32" header="0.37" footer="0.2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D12" sqref="D12"/>
    </sheetView>
  </sheetViews>
  <sheetFormatPr defaultColWidth="9.00390625" defaultRowHeight="12.75"/>
  <cols>
    <col min="1" max="1" width="24.00390625" style="0" customWidth="1"/>
    <col min="2" max="2" width="10.25390625" style="0" customWidth="1"/>
    <col min="3" max="3" width="14.75390625" style="0" customWidth="1"/>
    <col min="4" max="4" width="10.25390625" style="0" customWidth="1"/>
    <col min="5" max="5" width="13.75390625" style="0" customWidth="1"/>
    <col min="6" max="6" width="12.75390625" style="0" customWidth="1"/>
    <col min="7" max="7" width="11.00390625" style="0" customWidth="1"/>
    <col min="8" max="8" width="14.25390625" style="0" customWidth="1"/>
    <col min="9" max="9" width="10.25390625" style="0" customWidth="1"/>
    <col min="10" max="10" width="14.75390625" style="0" customWidth="1"/>
    <col min="11" max="11" width="13.25390625" style="0" customWidth="1"/>
    <col min="12" max="12" width="11.25390625" style="0" customWidth="1"/>
    <col min="13" max="13" width="11.75390625" style="0" customWidth="1"/>
  </cols>
  <sheetData>
    <row r="1" spans="10:11" ht="20.25" customHeight="1">
      <c r="J1" s="169" t="s">
        <v>154</v>
      </c>
      <c r="K1" s="162"/>
    </row>
    <row r="2" spans="1:13" ht="18.75">
      <c r="A2" s="227" t="s">
        <v>149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27" t="s">
        <v>87</v>
      </c>
      <c r="L3" s="4"/>
      <c r="M3" s="4"/>
    </row>
    <row r="4" spans="1:13" ht="48.75" customHeight="1">
      <c r="A4" s="228" t="s">
        <v>11</v>
      </c>
      <c r="B4" s="229" t="s">
        <v>150</v>
      </c>
      <c r="C4" s="229"/>
      <c r="D4" s="229"/>
      <c r="E4" s="229"/>
      <c r="F4" s="229"/>
      <c r="G4" s="230" t="s">
        <v>151</v>
      </c>
      <c r="H4" s="230"/>
      <c r="I4" s="230"/>
      <c r="J4" s="230"/>
      <c r="K4" s="230"/>
      <c r="L4" s="29"/>
      <c r="M4" s="29"/>
    </row>
    <row r="5" spans="1:13" ht="72.75" customHeight="1">
      <c r="A5" s="228"/>
      <c r="B5" s="28" t="s">
        <v>12</v>
      </c>
      <c r="C5" s="28" t="s">
        <v>13</v>
      </c>
      <c r="D5" s="28" t="s">
        <v>14</v>
      </c>
      <c r="E5" s="28" t="s">
        <v>15</v>
      </c>
      <c r="F5" s="28" t="s">
        <v>16</v>
      </c>
      <c r="G5" s="28" t="s">
        <v>12</v>
      </c>
      <c r="H5" s="28" t="s">
        <v>13</v>
      </c>
      <c r="I5" s="28" t="s">
        <v>14</v>
      </c>
      <c r="J5" s="28" t="s">
        <v>15</v>
      </c>
      <c r="K5" s="28" t="s">
        <v>16</v>
      </c>
      <c r="L5" s="4"/>
      <c r="M5" s="4"/>
    </row>
    <row r="6" spans="1:13" ht="15.75">
      <c r="A6" s="30"/>
      <c r="B6" s="31"/>
      <c r="C6" s="31"/>
      <c r="D6" s="31"/>
      <c r="E6" s="31"/>
      <c r="F6" s="31"/>
      <c r="G6" s="31"/>
      <c r="H6" s="32"/>
      <c r="I6" s="31"/>
      <c r="J6" s="32"/>
      <c r="K6" s="32"/>
      <c r="L6" s="4"/>
      <c r="M6" s="4"/>
    </row>
    <row r="7" spans="1:13" ht="15.75">
      <c r="A7" s="30"/>
      <c r="B7" s="31"/>
      <c r="C7" s="31"/>
      <c r="D7" s="31"/>
      <c r="E7" s="31"/>
      <c r="F7" s="31"/>
      <c r="G7" s="31"/>
      <c r="H7" s="32"/>
      <c r="I7" s="31"/>
      <c r="J7" s="32"/>
      <c r="K7" s="32"/>
      <c r="L7" s="4"/>
      <c r="M7" s="4"/>
    </row>
    <row r="8" spans="1:13" ht="15.75">
      <c r="A8" s="30"/>
      <c r="B8" s="31"/>
      <c r="C8" s="31"/>
      <c r="D8" s="31"/>
      <c r="E8" s="31"/>
      <c r="F8" s="31"/>
      <c r="G8" s="31"/>
      <c r="H8" s="32"/>
      <c r="I8" s="31"/>
      <c r="J8" s="32"/>
      <c r="K8" s="32"/>
      <c r="L8" s="4"/>
      <c r="M8" s="4"/>
    </row>
    <row r="9" spans="1:13" ht="15.75">
      <c r="A9" s="30"/>
      <c r="B9" s="31"/>
      <c r="C9" s="31"/>
      <c r="D9" s="31"/>
      <c r="E9" s="31"/>
      <c r="F9" s="31"/>
      <c r="G9" s="31"/>
      <c r="H9" s="32"/>
      <c r="I9" s="31"/>
      <c r="J9" s="32"/>
      <c r="K9" s="32"/>
      <c r="L9" s="4"/>
      <c r="M9" s="4"/>
    </row>
    <row r="10" spans="1:13" ht="15.75">
      <c r="A10" s="30"/>
      <c r="B10" s="31"/>
      <c r="C10" s="31"/>
      <c r="D10" s="31"/>
      <c r="E10" s="31"/>
      <c r="F10" s="31"/>
      <c r="G10" s="31"/>
      <c r="H10" s="32"/>
      <c r="I10" s="31"/>
      <c r="J10" s="32"/>
      <c r="K10" s="32"/>
      <c r="L10" s="4"/>
      <c r="M10" s="4"/>
    </row>
    <row r="11" spans="1:13" ht="15.75">
      <c r="A11" s="33"/>
      <c r="B11" s="31"/>
      <c r="C11" s="31"/>
      <c r="D11" s="31"/>
      <c r="E11" s="31"/>
      <c r="F11" s="31"/>
      <c r="G11" s="31"/>
      <c r="H11" s="32"/>
      <c r="I11" s="31"/>
      <c r="J11" s="32"/>
      <c r="K11" s="32"/>
      <c r="L11" s="4"/>
      <c r="M11" s="4"/>
    </row>
    <row r="12" spans="1:13" ht="15.75">
      <c r="A12" s="30"/>
      <c r="B12" s="31"/>
      <c r="C12" s="31"/>
      <c r="D12" s="31"/>
      <c r="E12" s="31"/>
      <c r="F12" s="31"/>
      <c r="G12" s="31"/>
      <c r="H12" s="32"/>
      <c r="I12" s="31"/>
      <c r="J12" s="32"/>
      <c r="K12" s="32"/>
      <c r="L12" s="4"/>
      <c r="M12" s="4"/>
    </row>
    <row r="13" spans="1:13" ht="15.75">
      <c r="A13" s="32"/>
      <c r="B13" s="31"/>
      <c r="C13" s="31"/>
      <c r="D13" s="31"/>
      <c r="E13" s="31"/>
      <c r="F13" s="31"/>
      <c r="G13" s="31"/>
      <c r="H13" s="32"/>
      <c r="I13" s="31"/>
      <c r="J13" s="32"/>
      <c r="K13" s="32"/>
      <c r="L13" s="4"/>
      <c r="M13" s="4"/>
    </row>
    <row r="14" spans="1:13" ht="15.75">
      <c r="A14" s="32"/>
      <c r="B14" s="31"/>
      <c r="C14" s="31"/>
      <c r="D14" s="31"/>
      <c r="E14" s="31"/>
      <c r="F14" s="31"/>
      <c r="G14" s="31"/>
      <c r="H14" s="32"/>
      <c r="I14" s="31"/>
      <c r="J14" s="32"/>
      <c r="K14" s="32"/>
      <c r="L14" s="4"/>
      <c r="M14" s="4"/>
    </row>
    <row r="15" spans="1:13" ht="15.75">
      <c r="A15" s="32"/>
      <c r="B15" s="31"/>
      <c r="C15" s="31"/>
      <c r="D15" s="31"/>
      <c r="E15" s="31"/>
      <c r="F15" s="31"/>
      <c r="G15" s="31"/>
      <c r="H15" s="32"/>
      <c r="I15" s="31"/>
      <c r="J15" s="32"/>
      <c r="K15" s="32"/>
      <c r="L15" s="4"/>
      <c r="M15" s="4"/>
    </row>
    <row r="16" spans="1:13" ht="15.75">
      <c r="A16" s="34" t="s">
        <v>17</v>
      </c>
      <c r="B16" s="35"/>
      <c r="C16" s="35"/>
      <c r="D16" s="35"/>
      <c r="E16" s="31"/>
      <c r="F16" s="31"/>
      <c r="G16" s="35"/>
      <c r="H16" s="35"/>
      <c r="I16" s="35"/>
      <c r="J16" s="34"/>
      <c r="K16" s="3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36" t="s">
        <v>2</v>
      </c>
      <c r="B19" s="4"/>
      <c r="C19" s="4"/>
      <c r="D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3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75">
      <c r="A21" s="3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.75">
      <c r="A22" s="36" t="s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ht="12.75">
      <c r="A24" s="37"/>
    </row>
  </sheetData>
  <sheetProtection/>
  <mergeCells count="4">
    <mergeCell ref="A2:M2"/>
    <mergeCell ref="A4:A5"/>
    <mergeCell ref="B4:F4"/>
    <mergeCell ref="G4:K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"/>
  <sheetViews>
    <sheetView workbookViewId="0" topLeftCell="A4">
      <selection activeCell="D23" sqref="D23"/>
    </sheetView>
  </sheetViews>
  <sheetFormatPr defaultColWidth="9.00390625" defaultRowHeight="12.75"/>
  <cols>
    <col min="1" max="1" width="48.00390625" style="0" customWidth="1"/>
    <col min="2" max="2" width="10.25390625" style="0" customWidth="1"/>
    <col min="3" max="3" width="10.875" style="0" customWidth="1"/>
    <col min="4" max="4" width="11.125" style="0" customWidth="1"/>
    <col min="5" max="5" width="7.875" style="0" customWidth="1"/>
    <col min="6" max="6" width="10.125" style="0" customWidth="1"/>
    <col min="7" max="7" width="11.125" style="0" customWidth="1"/>
    <col min="8" max="8" width="10.125" style="0" customWidth="1"/>
  </cols>
  <sheetData>
    <row r="1" spans="8:10" ht="19.5" customHeight="1">
      <c r="H1" s="169" t="s">
        <v>155</v>
      </c>
      <c r="I1" s="162"/>
      <c r="J1" s="162"/>
    </row>
    <row r="2" spans="1:10" ht="36.75" customHeight="1">
      <c r="A2" s="231" t="s">
        <v>138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5.75">
      <c r="A3" s="235" t="s">
        <v>220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5" customHeight="1">
      <c r="A4" s="236" t="s">
        <v>6</v>
      </c>
      <c r="B4" s="236"/>
      <c r="C4" s="236"/>
      <c r="D4" s="236"/>
      <c r="E4" s="236"/>
      <c r="F4" s="236"/>
      <c r="G4" s="236"/>
      <c r="H4" s="236"/>
      <c r="I4" s="236"/>
      <c r="J4" s="236"/>
    </row>
    <row r="5" spans="1:10" ht="15.75">
      <c r="A5" s="141"/>
      <c r="B5" s="141"/>
      <c r="C5" s="141"/>
      <c r="D5" s="141"/>
      <c r="E5" s="141"/>
      <c r="F5" s="141"/>
      <c r="G5" s="141"/>
      <c r="H5" s="141"/>
      <c r="I5" s="141" t="s">
        <v>87</v>
      </c>
      <c r="J5" s="141"/>
    </row>
    <row r="6" spans="1:10" ht="30.75" customHeight="1">
      <c r="A6" s="232" t="s">
        <v>88</v>
      </c>
      <c r="B6" s="233" t="s">
        <v>180</v>
      </c>
      <c r="C6" s="233"/>
      <c r="D6" s="233"/>
      <c r="E6" s="232" t="s">
        <v>156</v>
      </c>
      <c r="F6" s="232"/>
      <c r="G6" s="232"/>
      <c r="H6" s="234" t="s">
        <v>157</v>
      </c>
      <c r="I6" s="234"/>
      <c r="J6" s="234"/>
    </row>
    <row r="7" spans="1:10" ht="15.75">
      <c r="A7" s="232"/>
      <c r="B7" s="142" t="s">
        <v>89</v>
      </c>
      <c r="C7" s="142" t="s">
        <v>90</v>
      </c>
      <c r="D7" s="142" t="s">
        <v>91</v>
      </c>
      <c r="E7" s="142" t="s">
        <v>89</v>
      </c>
      <c r="F7" s="142" t="s">
        <v>90</v>
      </c>
      <c r="G7" s="142" t="s">
        <v>91</v>
      </c>
      <c r="H7" s="142" t="s">
        <v>89</v>
      </c>
      <c r="I7" s="142" t="s">
        <v>90</v>
      </c>
      <c r="J7" s="142" t="s">
        <v>91</v>
      </c>
    </row>
    <row r="8" spans="1:10" s="1" customFormat="1" ht="37.5" customHeight="1">
      <c r="A8" s="163" t="s">
        <v>112</v>
      </c>
      <c r="B8" s="182"/>
      <c r="C8" s="182"/>
      <c r="D8" s="182"/>
      <c r="E8" s="182"/>
      <c r="F8" s="182"/>
      <c r="G8" s="182"/>
      <c r="H8" s="164"/>
      <c r="I8" s="164"/>
      <c r="J8" s="164"/>
    </row>
    <row r="9" spans="1:10" s="1" customFormat="1" ht="47.25">
      <c r="A9" s="163" t="s">
        <v>222</v>
      </c>
      <c r="B9" s="182"/>
      <c r="C9" s="182"/>
      <c r="D9" s="182"/>
      <c r="E9" s="182"/>
      <c r="F9" s="182">
        <v>5566.7</v>
      </c>
      <c r="G9" s="182">
        <v>1445.83316</v>
      </c>
      <c r="H9" s="164"/>
      <c r="I9" s="164"/>
      <c r="J9" s="164"/>
    </row>
    <row r="10" spans="1:10" s="1" customFormat="1" ht="47.25">
      <c r="A10" s="163" t="s">
        <v>216</v>
      </c>
      <c r="B10" s="182"/>
      <c r="C10" s="182"/>
      <c r="D10" s="182"/>
      <c r="E10" s="182"/>
      <c r="F10" s="182"/>
      <c r="G10" s="182"/>
      <c r="H10" s="182"/>
      <c r="I10" s="182">
        <v>3300</v>
      </c>
      <c r="J10" s="182">
        <v>766</v>
      </c>
    </row>
    <row r="11" spans="1:10" s="1" customFormat="1" ht="31.5">
      <c r="A11" s="163" t="s">
        <v>223</v>
      </c>
      <c r="B11" s="182"/>
      <c r="C11" s="182"/>
      <c r="D11" s="182"/>
      <c r="E11" s="182"/>
      <c r="F11" s="182"/>
      <c r="G11" s="182"/>
      <c r="H11" s="182"/>
      <c r="I11" s="182"/>
      <c r="J11" s="182">
        <v>7200</v>
      </c>
    </row>
    <row r="12" spans="1:10" s="1" customFormat="1" ht="15.75">
      <c r="A12" s="164" t="s">
        <v>113</v>
      </c>
      <c r="B12" s="182">
        <f>B9+B10+B11</f>
        <v>0</v>
      </c>
      <c r="C12" s="182">
        <f aca="true" t="shared" si="0" ref="C12:J12">C9+C10+C11</f>
        <v>0</v>
      </c>
      <c r="D12" s="182">
        <f t="shared" si="0"/>
        <v>0</v>
      </c>
      <c r="E12" s="182">
        <f t="shared" si="0"/>
        <v>0</v>
      </c>
      <c r="F12" s="182">
        <f t="shared" si="0"/>
        <v>5566.7</v>
      </c>
      <c r="G12" s="182">
        <f t="shared" si="0"/>
        <v>1445.83316</v>
      </c>
      <c r="H12" s="182">
        <f t="shared" si="0"/>
        <v>0</v>
      </c>
      <c r="I12" s="182">
        <f t="shared" si="0"/>
        <v>3300</v>
      </c>
      <c r="J12" s="182">
        <f t="shared" si="0"/>
        <v>7966</v>
      </c>
    </row>
    <row r="13" spans="1:10" s="1" customFormat="1" ht="53.25" customHeight="1">
      <c r="A13" s="163" t="s">
        <v>130</v>
      </c>
      <c r="B13" s="182"/>
      <c r="C13" s="182"/>
      <c r="D13" s="182"/>
      <c r="E13" s="182"/>
      <c r="F13" s="182"/>
      <c r="G13" s="182"/>
      <c r="H13" s="164"/>
      <c r="I13" s="164"/>
      <c r="J13" s="164"/>
    </row>
    <row r="14" spans="1:10" s="1" customFormat="1" ht="31.5">
      <c r="A14" s="181" t="s">
        <v>219</v>
      </c>
      <c r="B14" s="182">
        <v>297.1</v>
      </c>
      <c r="C14" s="182">
        <v>296.89993</v>
      </c>
      <c r="D14" s="182">
        <v>0</v>
      </c>
      <c r="E14" s="182">
        <v>297</v>
      </c>
      <c r="F14" s="182">
        <v>297.2</v>
      </c>
      <c r="G14" s="182"/>
      <c r="H14" s="182">
        <v>297</v>
      </c>
      <c r="I14" s="164"/>
      <c r="J14" s="164"/>
    </row>
    <row r="15" spans="1:10" s="1" customFormat="1" ht="15.75">
      <c r="A15" s="164" t="s">
        <v>221</v>
      </c>
      <c r="B15" s="182"/>
      <c r="C15" s="182"/>
      <c r="D15" s="182">
        <v>738.9</v>
      </c>
      <c r="E15" s="182"/>
      <c r="F15" s="182"/>
      <c r="G15" s="182"/>
      <c r="H15" s="164"/>
      <c r="I15" s="164"/>
      <c r="J15" s="164"/>
    </row>
    <row r="16" spans="1:10" s="1" customFormat="1" ht="15.75">
      <c r="A16" s="164" t="s">
        <v>113</v>
      </c>
      <c r="B16" s="182">
        <f>B14+B15</f>
        <v>297.1</v>
      </c>
      <c r="C16" s="182">
        <f aca="true" t="shared" si="1" ref="C16:J16">C14+C15</f>
        <v>296.89993</v>
      </c>
      <c r="D16" s="182">
        <f t="shared" si="1"/>
        <v>738.9</v>
      </c>
      <c r="E16" s="182">
        <f t="shared" si="1"/>
        <v>297</v>
      </c>
      <c r="F16" s="182">
        <f t="shared" si="1"/>
        <v>297.2</v>
      </c>
      <c r="G16" s="182">
        <f t="shared" si="1"/>
        <v>0</v>
      </c>
      <c r="H16" s="182">
        <f t="shared" si="1"/>
        <v>297</v>
      </c>
      <c r="I16" s="182">
        <f t="shared" si="1"/>
        <v>0</v>
      </c>
      <c r="J16" s="182">
        <f t="shared" si="1"/>
        <v>0</v>
      </c>
    </row>
    <row r="17" spans="1:10" s="1" customFormat="1" ht="15.75">
      <c r="A17" s="164" t="s">
        <v>114</v>
      </c>
      <c r="B17" s="182">
        <f>B12+B16</f>
        <v>297.1</v>
      </c>
      <c r="C17" s="182">
        <f aca="true" t="shared" si="2" ref="C17:J17">C12+C16</f>
        <v>296.89993</v>
      </c>
      <c r="D17" s="182">
        <f t="shared" si="2"/>
        <v>738.9</v>
      </c>
      <c r="E17" s="182">
        <f t="shared" si="2"/>
        <v>297</v>
      </c>
      <c r="F17" s="182">
        <f t="shared" si="2"/>
        <v>5863.9</v>
      </c>
      <c r="G17" s="182">
        <f t="shared" si="2"/>
        <v>1445.83316</v>
      </c>
      <c r="H17" s="182">
        <f t="shared" si="2"/>
        <v>297</v>
      </c>
      <c r="I17" s="182">
        <f t="shared" si="2"/>
        <v>3300</v>
      </c>
      <c r="J17" s="182">
        <f t="shared" si="2"/>
        <v>7966</v>
      </c>
    </row>
  </sheetData>
  <sheetProtection/>
  <mergeCells count="7">
    <mergeCell ref="A2:J2"/>
    <mergeCell ref="A6:A7"/>
    <mergeCell ref="B6:D6"/>
    <mergeCell ref="E6:G6"/>
    <mergeCell ref="H6:J6"/>
    <mergeCell ref="A3:J3"/>
    <mergeCell ref="A4:J4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23" sqref="E23"/>
    </sheetView>
  </sheetViews>
  <sheetFormatPr defaultColWidth="14.75390625" defaultRowHeight="12.75"/>
  <cols>
    <col min="1" max="1" width="8.25390625" style="0" customWidth="1"/>
    <col min="2" max="2" width="54.25390625" style="0" customWidth="1"/>
    <col min="3" max="4" width="13.25390625" style="0" customWidth="1"/>
    <col min="5" max="5" width="14.375" style="0" customWidth="1"/>
    <col min="6" max="6" width="13.25390625" style="0" customWidth="1"/>
    <col min="7" max="7" width="11.25390625" style="0" customWidth="1"/>
    <col min="8" max="8" width="11.75390625" style="0" customWidth="1"/>
    <col min="9" max="251" width="8.875" style="0" customWidth="1"/>
    <col min="252" max="252" width="30.75390625" style="0" customWidth="1"/>
    <col min="253" max="253" width="10.25390625" style="0" customWidth="1"/>
  </cols>
  <sheetData>
    <row r="1" ht="24" customHeight="1">
      <c r="F1" s="169" t="s">
        <v>158</v>
      </c>
    </row>
    <row r="2" spans="1:8" ht="18.75">
      <c r="A2" s="227" t="s">
        <v>92</v>
      </c>
      <c r="B2" s="227"/>
      <c r="C2" s="227"/>
      <c r="D2" s="227"/>
      <c r="E2" s="227"/>
      <c r="F2" s="227"/>
      <c r="G2" s="143"/>
      <c r="H2" s="143"/>
    </row>
    <row r="3" spans="1:8" ht="22.5" customHeight="1">
      <c r="A3" s="240"/>
      <c r="B3" s="240"/>
      <c r="C3" s="240"/>
      <c r="D3" s="240"/>
      <c r="E3" s="240"/>
      <c r="F3" s="240"/>
      <c r="G3" s="143"/>
      <c r="H3" s="143"/>
    </row>
    <row r="4" spans="1:8" ht="12" customHeight="1">
      <c r="A4" s="241" t="s">
        <v>93</v>
      </c>
      <c r="B4" s="241"/>
      <c r="C4" s="241"/>
      <c r="D4" s="241"/>
      <c r="E4" s="241"/>
      <c r="F4" s="241"/>
      <c r="G4" s="143"/>
      <c r="H4" s="143"/>
    </row>
    <row r="5" spans="2:8" ht="23.25" customHeight="1">
      <c r="B5" s="4"/>
      <c r="C5" s="4"/>
      <c r="D5" s="4"/>
      <c r="E5" s="4"/>
      <c r="F5" s="19" t="s">
        <v>10</v>
      </c>
      <c r="G5" s="4"/>
      <c r="H5" s="4"/>
    </row>
    <row r="6" spans="1:8" s="145" customFormat="1" ht="38.25" customHeight="1">
      <c r="A6" s="242" t="s">
        <v>94</v>
      </c>
      <c r="B6" s="242" t="s">
        <v>95</v>
      </c>
      <c r="C6" s="196" t="s">
        <v>159</v>
      </c>
      <c r="D6" s="237"/>
      <c r="E6" s="196" t="s">
        <v>160</v>
      </c>
      <c r="F6" s="237"/>
      <c r="G6" s="144"/>
      <c r="H6" s="144"/>
    </row>
    <row r="7" spans="1:8" s="147" customFormat="1" ht="15.75">
      <c r="A7" s="243"/>
      <c r="B7" s="243"/>
      <c r="C7" s="146" t="s">
        <v>90</v>
      </c>
      <c r="D7" s="146" t="s">
        <v>91</v>
      </c>
      <c r="E7" s="146" t="s">
        <v>90</v>
      </c>
      <c r="F7" s="146" t="s">
        <v>91</v>
      </c>
      <c r="G7" s="144"/>
      <c r="H7" s="144"/>
    </row>
    <row r="8" spans="1:8" ht="93.75" customHeight="1">
      <c r="A8" s="180" t="s">
        <v>218</v>
      </c>
      <c r="B8" s="179" t="s">
        <v>217</v>
      </c>
      <c r="C8" s="31">
        <v>0</v>
      </c>
      <c r="D8" s="31">
        <v>0</v>
      </c>
      <c r="E8" s="31">
        <v>0</v>
      </c>
      <c r="F8" s="31">
        <v>250</v>
      </c>
      <c r="G8" s="4"/>
      <c r="H8" s="4"/>
    </row>
    <row r="9" spans="1:8" ht="15.75" hidden="1">
      <c r="A9" s="148"/>
      <c r="B9" s="30"/>
      <c r="C9" s="31"/>
      <c r="D9" s="31"/>
      <c r="E9" s="31"/>
      <c r="F9" s="31"/>
      <c r="G9" s="4"/>
      <c r="H9" s="4"/>
    </row>
    <row r="10" spans="1:8" ht="15.75" hidden="1">
      <c r="A10" s="148"/>
      <c r="B10" s="30"/>
      <c r="C10" s="31"/>
      <c r="D10" s="31"/>
      <c r="E10" s="31"/>
      <c r="F10" s="31"/>
      <c r="G10" s="4"/>
      <c r="H10" s="4"/>
    </row>
    <row r="11" spans="1:8" ht="15.75" hidden="1">
      <c r="A11" s="148"/>
      <c r="B11" s="30"/>
      <c r="C11" s="31"/>
      <c r="D11" s="31"/>
      <c r="E11" s="31"/>
      <c r="F11" s="31"/>
      <c r="G11" s="4"/>
      <c r="H11" s="4"/>
    </row>
    <row r="12" spans="1:8" ht="15.75" hidden="1">
      <c r="A12" s="148"/>
      <c r="B12" s="33"/>
      <c r="C12" s="31"/>
      <c r="D12" s="31"/>
      <c r="E12" s="31"/>
      <c r="F12" s="31"/>
      <c r="G12" s="4"/>
      <c r="H12" s="4"/>
    </row>
    <row r="13" spans="1:8" ht="15.75" hidden="1">
      <c r="A13" s="148"/>
      <c r="B13" s="30"/>
      <c r="C13" s="31"/>
      <c r="D13" s="31"/>
      <c r="E13" s="31"/>
      <c r="F13" s="31"/>
      <c r="G13" s="4"/>
      <c r="H13" s="4"/>
    </row>
    <row r="14" spans="1:8" ht="15.75" hidden="1">
      <c r="A14" s="148"/>
      <c r="B14" s="32"/>
      <c r="C14" s="31"/>
      <c r="D14" s="31"/>
      <c r="E14" s="31"/>
      <c r="F14" s="31"/>
      <c r="G14" s="4"/>
      <c r="H14" s="4"/>
    </row>
    <row r="15" spans="1:8" ht="15.75" hidden="1">
      <c r="A15" s="148"/>
      <c r="B15" s="32"/>
      <c r="C15" s="31"/>
      <c r="D15" s="31"/>
      <c r="E15" s="31"/>
      <c r="F15" s="31"/>
      <c r="G15" s="4"/>
      <c r="H15" s="4"/>
    </row>
    <row r="16" spans="1:8" ht="15.75" hidden="1">
      <c r="A16" s="148"/>
      <c r="B16" s="32"/>
      <c r="C16" s="31"/>
      <c r="D16" s="31"/>
      <c r="E16" s="31"/>
      <c r="F16" s="31"/>
      <c r="G16" s="4"/>
      <c r="H16" s="4"/>
    </row>
    <row r="17" spans="1:8" s="147" customFormat="1" ht="15.75">
      <c r="A17" s="238" t="s">
        <v>17</v>
      </c>
      <c r="B17" s="239"/>
      <c r="C17" s="35">
        <f>C8</f>
        <v>0</v>
      </c>
      <c r="D17" s="35">
        <f>D8</f>
        <v>0</v>
      </c>
      <c r="E17" s="35">
        <f>E8</f>
        <v>0</v>
      </c>
      <c r="F17" s="35">
        <f>F8</f>
        <v>250</v>
      </c>
      <c r="G17" s="144"/>
      <c r="H17" s="144"/>
    </row>
    <row r="18" spans="2:8" ht="12.75">
      <c r="B18" s="4"/>
      <c r="C18" s="4"/>
      <c r="D18" s="4"/>
      <c r="E18" s="4"/>
      <c r="F18" s="4"/>
      <c r="G18" s="4"/>
      <c r="H18" s="4"/>
    </row>
    <row r="19" spans="2:8" ht="12.75">
      <c r="B19" s="4"/>
      <c r="C19" s="4"/>
      <c r="D19" s="4"/>
      <c r="E19" s="4"/>
      <c r="F19" s="4"/>
      <c r="G19" s="4"/>
      <c r="H19" s="4"/>
    </row>
    <row r="20" spans="2:8" ht="12.75">
      <c r="B20" s="4"/>
      <c r="C20" s="4"/>
      <c r="D20" s="4"/>
      <c r="E20" s="4"/>
      <c r="F20" s="4"/>
      <c r="G20" s="4"/>
      <c r="H20" s="4"/>
    </row>
    <row r="21" ht="12.75">
      <c r="B21" s="37"/>
    </row>
  </sheetData>
  <sheetProtection/>
  <mergeCells count="8">
    <mergeCell ref="E6:F6"/>
    <mergeCell ref="A17:B17"/>
    <mergeCell ref="A2:F2"/>
    <mergeCell ref="A3:F3"/>
    <mergeCell ref="A4:F4"/>
    <mergeCell ref="A6:A7"/>
    <mergeCell ref="B6:B7"/>
    <mergeCell ref="C6:D6"/>
  </mergeCells>
  <printOptions/>
  <pageMargins left="0.31496062992125984" right="0.31496062992125984" top="0.31496062992125984" bottom="0.3149606299212598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14"/>
  <sheetViews>
    <sheetView tabSelected="1" zoomScale="73" zoomScaleNormal="73" workbookViewId="0" topLeftCell="A1">
      <selection activeCell="G12" sqref="G11:G12"/>
    </sheetView>
  </sheetViews>
  <sheetFormatPr defaultColWidth="9.00390625" defaultRowHeight="12.75"/>
  <cols>
    <col min="1" max="1" width="39.125" style="0" customWidth="1"/>
    <col min="2" max="2" width="14.75390625" style="0" customWidth="1"/>
    <col min="3" max="3" width="12.125" style="0" customWidth="1"/>
    <col min="4" max="4" width="16.25390625" style="0" customWidth="1"/>
    <col min="5" max="5" width="14.875" style="0" customWidth="1"/>
    <col min="6" max="6" width="12.375" style="0" hidden="1" customWidth="1"/>
    <col min="7" max="8" width="12.375" style="0" customWidth="1"/>
    <col min="9" max="9" width="13.875" style="0" hidden="1" customWidth="1"/>
    <col min="10" max="10" width="12.875" style="0" customWidth="1"/>
    <col min="11" max="11" width="10.375" style="0" hidden="1" customWidth="1"/>
    <col min="12" max="12" width="12.00390625" style="0" customWidth="1"/>
    <col min="13" max="13" width="11.00390625" style="0" hidden="1" customWidth="1"/>
    <col min="14" max="14" width="11.00390625" style="0" customWidth="1"/>
  </cols>
  <sheetData>
    <row r="1" spans="12:14" ht="18.75" customHeight="1">
      <c r="L1" s="169" t="s">
        <v>161</v>
      </c>
      <c r="M1" s="162"/>
      <c r="N1" s="162"/>
    </row>
    <row r="2" spans="1:14" s="4" customFormat="1" ht="69.75" customHeight="1">
      <c r="A2" s="247" t="s">
        <v>231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6.5" customHeight="1">
      <c r="A3" s="140" t="s">
        <v>87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</row>
    <row r="4" spans="1:14" ht="33.75" customHeight="1">
      <c r="A4" s="248" t="s">
        <v>5</v>
      </c>
      <c r="B4" s="248" t="s">
        <v>131</v>
      </c>
      <c r="C4" s="249" t="s">
        <v>163</v>
      </c>
      <c r="D4" s="250" t="s">
        <v>165</v>
      </c>
      <c r="E4" s="244" t="s">
        <v>164</v>
      </c>
      <c r="F4" s="252" t="s">
        <v>166</v>
      </c>
      <c r="G4" s="253"/>
      <c r="H4" s="250" t="s">
        <v>167</v>
      </c>
      <c r="I4" s="244" t="s">
        <v>169</v>
      </c>
      <c r="J4" s="244" t="s">
        <v>170</v>
      </c>
      <c r="K4" s="245" t="s">
        <v>171</v>
      </c>
      <c r="L4" s="245"/>
      <c r="M4" s="246" t="s">
        <v>172</v>
      </c>
      <c r="N4" s="246"/>
    </row>
    <row r="5" spans="1:14" ht="63.75" customHeight="1">
      <c r="A5" s="248"/>
      <c r="B5" s="248"/>
      <c r="C5" s="249"/>
      <c r="D5" s="251"/>
      <c r="E5" s="244"/>
      <c r="F5" s="254"/>
      <c r="G5" s="255"/>
      <c r="H5" s="251"/>
      <c r="I5" s="244"/>
      <c r="J5" s="244"/>
      <c r="K5" s="48" t="s">
        <v>21</v>
      </c>
      <c r="L5" s="48" t="s">
        <v>20</v>
      </c>
      <c r="M5" s="50" t="s">
        <v>22</v>
      </c>
      <c r="N5" s="50" t="s">
        <v>23</v>
      </c>
    </row>
    <row r="6" spans="1:14" ht="16.5" customHeight="1">
      <c r="A6" s="45">
        <v>1</v>
      </c>
      <c r="B6" s="45">
        <v>2</v>
      </c>
      <c r="C6" s="46">
        <v>3</v>
      </c>
      <c r="D6" s="49">
        <v>4</v>
      </c>
      <c r="E6" s="47">
        <v>5</v>
      </c>
      <c r="F6" s="48">
        <v>6</v>
      </c>
      <c r="G6" s="48">
        <v>7</v>
      </c>
      <c r="H6" s="49" t="s">
        <v>168</v>
      </c>
      <c r="I6" s="47">
        <v>9</v>
      </c>
      <c r="J6" s="47">
        <v>10</v>
      </c>
      <c r="K6" s="48">
        <v>11</v>
      </c>
      <c r="L6" s="48">
        <v>12</v>
      </c>
      <c r="M6" s="50">
        <v>13</v>
      </c>
      <c r="N6" s="50">
        <v>14</v>
      </c>
    </row>
    <row r="7" spans="1:65" s="56" customFormat="1" ht="36" customHeight="1">
      <c r="A7" s="51" t="s">
        <v>83</v>
      </c>
      <c r="B7" s="52">
        <f>B8+B28</f>
        <v>94162.20687000001</v>
      </c>
      <c r="C7" s="52">
        <f>C8+C28</f>
        <v>82347.57435000001</v>
      </c>
      <c r="D7" s="53" t="s">
        <v>3</v>
      </c>
      <c r="E7" s="52">
        <f>E8+E28</f>
        <v>86781.87624</v>
      </c>
      <c r="F7" s="52">
        <f>F8+F28</f>
        <v>0</v>
      </c>
      <c r="G7" s="52">
        <f>G8+G28</f>
        <v>86038.02024</v>
      </c>
      <c r="H7" s="52">
        <f>G7-E7</f>
        <v>-743.8559999999998</v>
      </c>
      <c r="I7" s="54">
        <f>F7/B7</f>
        <v>0</v>
      </c>
      <c r="J7" s="54">
        <f>G7/B7</f>
        <v>0.9137213655026561</v>
      </c>
      <c r="K7" s="52">
        <f>K8+K28</f>
        <v>0</v>
      </c>
      <c r="L7" s="52">
        <f>L8+L28</f>
        <v>62899.545</v>
      </c>
      <c r="M7" s="55" t="e">
        <f>K7/F7</f>
        <v>#DIV/0!</v>
      </c>
      <c r="N7" s="55">
        <f>L7/G7</f>
        <v>0.7310668565425373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</row>
    <row r="8" spans="1:14" ht="21.75" customHeight="1">
      <c r="A8" s="57" t="s">
        <v>24</v>
      </c>
      <c r="B8" s="58">
        <f>B10+B17</f>
        <v>24264.47533</v>
      </c>
      <c r="C8" s="58">
        <f>C10+C17</f>
        <v>24216.17435</v>
      </c>
      <c r="D8" s="59" t="s">
        <v>3</v>
      </c>
      <c r="E8" s="58">
        <f>E10+E17</f>
        <v>24216.21</v>
      </c>
      <c r="F8" s="58">
        <f>F10+F17</f>
        <v>0</v>
      </c>
      <c r="G8" s="58">
        <f>G10+G17</f>
        <v>23805.341999999997</v>
      </c>
      <c r="H8" s="60">
        <f aca="true" t="shared" si="0" ref="H8:H26">G8-E8</f>
        <v>-410.8680000000022</v>
      </c>
      <c r="I8" s="61">
        <f>F8/B8</f>
        <v>0</v>
      </c>
      <c r="J8" s="61">
        <f>G8/B8</f>
        <v>0.9810779617627939</v>
      </c>
      <c r="K8" s="58">
        <f>K10+K17</f>
        <v>0</v>
      </c>
      <c r="L8" s="58">
        <f>L10+L17</f>
        <v>24040.945</v>
      </c>
      <c r="M8" s="62" t="e">
        <f aca="true" t="shared" si="1" ref="M8:M26">K8/F8</f>
        <v>#DIV/0!</v>
      </c>
      <c r="N8" s="62">
        <f>L8/G8</f>
        <v>1.009897064280782</v>
      </c>
    </row>
    <row r="9" spans="1:14" ht="15">
      <c r="A9" s="63" t="s">
        <v>56</v>
      </c>
      <c r="B9" s="64"/>
      <c r="C9" s="65"/>
      <c r="D9" s="66" t="s">
        <v>3</v>
      </c>
      <c r="E9" s="65"/>
      <c r="F9" s="65"/>
      <c r="G9" s="65"/>
      <c r="H9" s="67">
        <f t="shared" si="0"/>
        <v>0</v>
      </c>
      <c r="I9" s="68"/>
      <c r="J9" s="68"/>
      <c r="K9" s="65"/>
      <c r="L9" s="65"/>
      <c r="M9" s="68" t="e">
        <f t="shared" si="1"/>
        <v>#DIV/0!</v>
      </c>
      <c r="N9" s="68" t="e">
        <f aca="true" t="shared" si="2" ref="N9:N26">L9/G9</f>
        <v>#DIV/0!</v>
      </c>
    </row>
    <row r="10" spans="1:14" ht="18" customHeight="1">
      <c r="A10" s="63" t="s">
        <v>57</v>
      </c>
      <c r="B10" s="64">
        <v>15315.38689</v>
      </c>
      <c r="C10" s="65">
        <v>15237.46435</v>
      </c>
      <c r="D10" s="66" t="s">
        <v>3</v>
      </c>
      <c r="E10" s="65">
        <v>15237.5</v>
      </c>
      <c r="F10" s="69"/>
      <c r="G10" s="69">
        <v>14575.577</v>
      </c>
      <c r="H10" s="70">
        <f t="shared" si="0"/>
        <v>-661.9230000000007</v>
      </c>
      <c r="I10" s="71">
        <f aca="true" t="shared" si="3" ref="I10:I21">F10/B10</f>
        <v>0</v>
      </c>
      <c r="J10" s="72">
        <f aca="true" t="shared" si="4" ref="J10:J21">G10/B10</f>
        <v>0.951694991754792</v>
      </c>
      <c r="K10" s="69"/>
      <c r="L10" s="69">
        <v>15508.885</v>
      </c>
      <c r="M10" s="68" t="e">
        <f>K10/F10</f>
        <v>#DIV/0!</v>
      </c>
      <c r="N10" s="68">
        <f t="shared" si="2"/>
        <v>1.064032319269419</v>
      </c>
    </row>
    <row r="11" spans="1:14" ht="18" customHeight="1">
      <c r="A11" s="63" t="s">
        <v>58</v>
      </c>
      <c r="B11" s="64">
        <v>10061.22123</v>
      </c>
      <c r="C11" s="65">
        <v>9434.2</v>
      </c>
      <c r="D11" s="66" t="s">
        <v>3</v>
      </c>
      <c r="E11" s="65">
        <v>9844.6</v>
      </c>
      <c r="F11" s="65"/>
      <c r="G11" s="65">
        <v>9434.2</v>
      </c>
      <c r="H11" s="67">
        <f t="shared" si="0"/>
        <v>-410.39999999999964</v>
      </c>
      <c r="I11" s="71">
        <f t="shared" si="3"/>
        <v>0</v>
      </c>
      <c r="J11" s="72">
        <f t="shared" si="4"/>
        <v>0.9376794113093965</v>
      </c>
      <c r="K11" s="65"/>
      <c r="L11" s="65">
        <v>10118.73</v>
      </c>
      <c r="M11" s="68" t="e">
        <f t="shared" si="1"/>
        <v>#DIV/0!</v>
      </c>
      <c r="N11" s="68">
        <f t="shared" si="2"/>
        <v>1.0725583515295414</v>
      </c>
    </row>
    <row r="12" spans="1:14" ht="18" customHeight="1">
      <c r="A12" s="63" t="s">
        <v>59</v>
      </c>
      <c r="B12" s="64">
        <v>1825.18075</v>
      </c>
      <c r="C12" s="65">
        <v>1829.82435</v>
      </c>
      <c r="D12" s="66" t="s">
        <v>3</v>
      </c>
      <c r="E12" s="65">
        <v>1829.83435</v>
      </c>
      <c r="F12" s="65"/>
      <c r="G12" s="65">
        <v>1829.834</v>
      </c>
      <c r="H12" s="67">
        <f t="shared" si="0"/>
        <v>-0.00035000000002582965</v>
      </c>
      <c r="I12" s="71">
        <f t="shared" si="3"/>
        <v>0</v>
      </c>
      <c r="J12" s="72">
        <f t="shared" si="4"/>
        <v>1.0025494735247455</v>
      </c>
      <c r="K12" s="65"/>
      <c r="L12" s="65">
        <v>1901.355</v>
      </c>
      <c r="M12" s="68" t="e">
        <f t="shared" si="1"/>
        <v>#DIV/0!</v>
      </c>
      <c r="N12" s="68">
        <f t="shared" si="2"/>
        <v>1.0390860591725806</v>
      </c>
    </row>
    <row r="13" spans="1:14" ht="18" customHeight="1">
      <c r="A13" s="63" t="s">
        <v>60</v>
      </c>
      <c r="B13" s="64">
        <v>1167.37937</v>
      </c>
      <c r="C13" s="65">
        <v>1094.87</v>
      </c>
      <c r="D13" s="66" t="s">
        <v>3</v>
      </c>
      <c r="E13" s="65">
        <v>1094.87</v>
      </c>
      <c r="F13" s="65"/>
      <c r="G13" s="65">
        <v>1511.4</v>
      </c>
      <c r="H13" s="67">
        <f t="shared" si="0"/>
        <v>416.5300000000002</v>
      </c>
      <c r="I13" s="71">
        <f t="shared" si="3"/>
        <v>0</v>
      </c>
      <c r="J13" s="72">
        <f t="shared" si="4"/>
        <v>1.2946948000288887</v>
      </c>
      <c r="K13" s="65"/>
      <c r="L13" s="65">
        <v>1554.64</v>
      </c>
      <c r="M13" s="68" t="e">
        <f t="shared" si="1"/>
        <v>#DIV/0!</v>
      </c>
      <c r="N13" s="68">
        <f t="shared" si="2"/>
        <v>1.0286092364694985</v>
      </c>
    </row>
    <row r="14" spans="1:14" ht="18" customHeight="1">
      <c r="A14" s="63" t="s">
        <v>61</v>
      </c>
      <c r="B14" s="64">
        <v>1216.2186</v>
      </c>
      <c r="C14" s="65">
        <v>1499</v>
      </c>
      <c r="D14" s="66" t="s">
        <v>3</v>
      </c>
      <c r="E14" s="65">
        <v>1499</v>
      </c>
      <c r="F14" s="65"/>
      <c r="G14" s="65">
        <v>987</v>
      </c>
      <c r="H14" s="67">
        <f t="shared" si="0"/>
        <v>-512</v>
      </c>
      <c r="I14" s="71">
        <f t="shared" si="3"/>
        <v>0</v>
      </c>
      <c r="J14" s="72">
        <f t="shared" si="4"/>
        <v>0.8115317427311176</v>
      </c>
      <c r="K14" s="65"/>
      <c r="L14" s="65">
        <v>1234.13</v>
      </c>
      <c r="M14" s="68" t="e">
        <f t="shared" si="1"/>
        <v>#DIV/0!</v>
      </c>
      <c r="N14" s="68">
        <f t="shared" si="2"/>
        <v>1.2503850050658563</v>
      </c>
    </row>
    <row r="15" spans="1:14" ht="18" customHeight="1">
      <c r="A15" s="63" t="s">
        <v>62</v>
      </c>
      <c r="B15" s="64">
        <v>151.37454</v>
      </c>
      <c r="C15" s="65">
        <v>141</v>
      </c>
      <c r="D15" s="66" t="s">
        <v>3</v>
      </c>
      <c r="E15" s="65">
        <v>141</v>
      </c>
      <c r="F15" s="65"/>
      <c r="G15" s="65">
        <v>122</v>
      </c>
      <c r="H15" s="67">
        <f t="shared" si="0"/>
        <v>-19</v>
      </c>
      <c r="I15" s="71">
        <f t="shared" si="3"/>
        <v>0</v>
      </c>
      <c r="J15" s="72">
        <f t="shared" si="4"/>
        <v>0.8059479487105295</v>
      </c>
      <c r="K15" s="65"/>
      <c r="L15" s="65">
        <v>109.05</v>
      </c>
      <c r="M15" s="68" t="e">
        <f t="shared" si="1"/>
        <v>#DIV/0!</v>
      </c>
      <c r="N15" s="68">
        <f t="shared" si="2"/>
        <v>0.8938524590163934</v>
      </c>
    </row>
    <row r="16" spans="1:14" ht="18" customHeight="1">
      <c r="A16" s="63" t="s">
        <v>63</v>
      </c>
      <c r="B16" s="64">
        <v>304.38573</v>
      </c>
      <c r="C16" s="65">
        <v>302</v>
      </c>
      <c r="D16" s="66" t="s">
        <v>3</v>
      </c>
      <c r="E16" s="65">
        <v>302</v>
      </c>
      <c r="F16" s="65"/>
      <c r="G16" s="65">
        <v>300</v>
      </c>
      <c r="H16" s="67">
        <f t="shared" si="0"/>
        <v>-2</v>
      </c>
      <c r="I16" s="71">
        <f t="shared" si="3"/>
        <v>0</v>
      </c>
      <c r="J16" s="72">
        <f t="shared" si="4"/>
        <v>0.9855915387360635</v>
      </c>
      <c r="K16" s="65"/>
      <c r="L16" s="65">
        <v>187.51</v>
      </c>
      <c r="M16" s="68" t="e">
        <f t="shared" si="1"/>
        <v>#DIV/0!</v>
      </c>
      <c r="N16" s="68">
        <f t="shared" si="2"/>
        <v>0.6250333333333333</v>
      </c>
    </row>
    <row r="17" spans="1:14" ht="18" customHeight="1">
      <c r="A17" s="63" t="s">
        <v>64</v>
      </c>
      <c r="B17" s="64">
        <v>8949.08844</v>
      </c>
      <c r="C17" s="65">
        <v>8978.71</v>
      </c>
      <c r="D17" s="66" t="s">
        <v>3</v>
      </c>
      <c r="E17" s="65">
        <f>C17</f>
        <v>8978.71</v>
      </c>
      <c r="F17" s="69"/>
      <c r="G17" s="69">
        <v>9229.765</v>
      </c>
      <c r="H17" s="70">
        <f t="shared" si="0"/>
        <v>251.0550000000003</v>
      </c>
      <c r="I17" s="71">
        <f t="shared" si="3"/>
        <v>0</v>
      </c>
      <c r="J17" s="72">
        <f t="shared" si="4"/>
        <v>1.0313637038992096</v>
      </c>
      <c r="K17" s="69"/>
      <c r="L17" s="69">
        <v>8532.06</v>
      </c>
      <c r="M17" s="68" t="e">
        <f t="shared" si="1"/>
        <v>#DIV/0!</v>
      </c>
      <c r="N17" s="68">
        <f t="shared" si="2"/>
        <v>0.9244070677855828</v>
      </c>
    </row>
    <row r="18" spans="1:14" ht="16.5" customHeight="1">
      <c r="A18" s="63" t="s">
        <v>65</v>
      </c>
      <c r="B18" s="64"/>
      <c r="C18" s="65"/>
      <c r="D18" s="66" t="s">
        <v>3</v>
      </c>
      <c r="E18" s="65"/>
      <c r="F18" s="69"/>
      <c r="G18" s="69"/>
      <c r="H18" s="70">
        <f t="shared" si="0"/>
        <v>0</v>
      </c>
      <c r="I18" s="71" t="e">
        <f t="shared" si="3"/>
        <v>#DIV/0!</v>
      </c>
      <c r="J18" s="72" t="e">
        <f t="shared" si="4"/>
        <v>#DIV/0!</v>
      </c>
      <c r="K18" s="69"/>
      <c r="L18" s="69"/>
      <c r="M18" s="68" t="e">
        <f t="shared" si="1"/>
        <v>#DIV/0!</v>
      </c>
      <c r="N18" s="68" t="e">
        <f t="shared" si="2"/>
        <v>#DIV/0!</v>
      </c>
    </row>
    <row r="19" spans="1:14" ht="45" customHeight="1">
      <c r="A19" s="63" t="s">
        <v>66</v>
      </c>
      <c r="B19" s="64">
        <v>7939.27673</v>
      </c>
      <c r="C19" s="65">
        <v>8110</v>
      </c>
      <c r="D19" s="66" t="s">
        <v>3</v>
      </c>
      <c r="E19" s="65">
        <f>C19</f>
        <v>8110</v>
      </c>
      <c r="F19" s="69"/>
      <c r="G19" s="69">
        <v>7749</v>
      </c>
      <c r="H19" s="70">
        <f t="shared" si="0"/>
        <v>-361</v>
      </c>
      <c r="I19" s="71">
        <f t="shared" si="3"/>
        <v>0</v>
      </c>
      <c r="J19" s="72">
        <f t="shared" si="4"/>
        <v>0.9760334931668266</v>
      </c>
      <c r="K19" s="69"/>
      <c r="L19" s="69">
        <v>7870</v>
      </c>
      <c r="M19" s="68" t="e">
        <f t="shared" si="1"/>
        <v>#DIV/0!</v>
      </c>
      <c r="N19" s="68">
        <f t="shared" si="2"/>
        <v>1.0156149180539424</v>
      </c>
    </row>
    <row r="20" spans="1:14" ht="26.25" customHeight="1">
      <c r="A20" s="73" t="s">
        <v>67</v>
      </c>
      <c r="B20" s="64">
        <v>6121.90436</v>
      </c>
      <c r="C20" s="65">
        <f>6150+80</f>
        <v>6230</v>
      </c>
      <c r="D20" s="66" t="s">
        <v>3</v>
      </c>
      <c r="E20" s="65">
        <f>C20</f>
        <v>6230</v>
      </c>
      <c r="F20" s="69"/>
      <c r="G20" s="69">
        <v>6180</v>
      </c>
      <c r="H20" s="70">
        <f t="shared" si="0"/>
        <v>-50</v>
      </c>
      <c r="I20" s="71">
        <f t="shared" si="3"/>
        <v>0</v>
      </c>
      <c r="J20" s="72">
        <f t="shared" si="4"/>
        <v>1.0094897986939475</v>
      </c>
      <c r="K20" s="69"/>
      <c r="L20" s="69">
        <v>5980</v>
      </c>
      <c r="M20" s="68" t="e">
        <f t="shared" si="1"/>
        <v>#DIV/0!</v>
      </c>
      <c r="N20" s="68">
        <f t="shared" si="2"/>
        <v>0.9676375404530745</v>
      </c>
    </row>
    <row r="21" spans="1:14" ht="34.5" customHeight="1">
      <c r="A21" s="74" t="s">
        <v>68</v>
      </c>
      <c r="B21" s="75">
        <v>24.09646</v>
      </c>
      <c r="C21" s="65">
        <v>20</v>
      </c>
      <c r="D21" s="66" t="s">
        <v>3</v>
      </c>
      <c r="E21" s="65">
        <f>C21</f>
        <v>20</v>
      </c>
      <c r="F21" s="69"/>
      <c r="G21" s="69">
        <v>526.315</v>
      </c>
      <c r="H21" s="70">
        <f t="shared" si="0"/>
        <v>506.31500000000005</v>
      </c>
      <c r="I21" s="71">
        <f t="shared" si="3"/>
        <v>0</v>
      </c>
      <c r="J21" s="72">
        <f t="shared" si="4"/>
        <v>21.842005008204527</v>
      </c>
      <c r="K21" s="69"/>
      <c r="L21" s="69">
        <v>20</v>
      </c>
      <c r="M21" s="68" t="e">
        <f t="shared" si="1"/>
        <v>#DIV/0!</v>
      </c>
      <c r="N21" s="68">
        <f t="shared" si="2"/>
        <v>0.0380000570000855</v>
      </c>
    </row>
    <row r="22" spans="1:14" ht="34.5" customHeight="1">
      <c r="A22" s="74" t="s">
        <v>179</v>
      </c>
      <c r="B22" s="75">
        <v>2.2635</v>
      </c>
      <c r="C22" s="65">
        <v>2.24</v>
      </c>
      <c r="D22" s="66" t="s">
        <v>3</v>
      </c>
      <c r="E22" s="65">
        <f>C22</f>
        <v>2.24</v>
      </c>
      <c r="F22" s="69"/>
      <c r="G22" s="69">
        <v>7.98</v>
      </c>
      <c r="H22" s="70">
        <f>G22-E22</f>
        <v>5.74</v>
      </c>
      <c r="I22" s="71">
        <f>F22/B22</f>
        <v>0</v>
      </c>
      <c r="J22" s="72">
        <f>G22/B22</f>
        <v>3.5255135851557324</v>
      </c>
      <c r="K22" s="69"/>
      <c r="L22" s="69">
        <v>9.06</v>
      </c>
      <c r="M22" s="68" t="e">
        <f>K22/F22</f>
        <v>#DIV/0!</v>
      </c>
      <c r="N22" s="68">
        <f>L22/G22</f>
        <v>1.1353383458646618</v>
      </c>
    </row>
    <row r="23" spans="1:14" s="82" customFormat="1" ht="18.75" customHeight="1" hidden="1">
      <c r="A23" s="76" t="s">
        <v>25</v>
      </c>
      <c r="B23" s="77"/>
      <c r="C23" s="78"/>
      <c r="D23" s="78"/>
      <c r="E23" s="78"/>
      <c r="F23" s="78"/>
      <c r="G23" s="78"/>
      <c r="H23" s="79">
        <f t="shared" si="0"/>
        <v>0</v>
      </c>
      <c r="I23" s="80"/>
      <c r="J23" s="80"/>
      <c r="K23" s="78"/>
      <c r="L23" s="78"/>
      <c r="M23" s="81" t="e">
        <f t="shared" si="1"/>
        <v>#DIV/0!</v>
      </c>
      <c r="N23" s="81" t="e">
        <f t="shared" si="2"/>
        <v>#DIV/0!</v>
      </c>
    </row>
    <row r="24" spans="1:14" ht="19.5" customHeight="1" hidden="1">
      <c r="A24" s="63" t="s">
        <v>26</v>
      </c>
      <c r="B24" s="83"/>
      <c r="C24" s="65"/>
      <c r="D24" s="66" t="s">
        <v>3</v>
      </c>
      <c r="E24" s="65"/>
      <c r="F24" s="69"/>
      <c r="G24" s="65"/>
      <c r="H24" s="67">
        <f t="shared" si="0"/>
        <v>0</v>
      </c>
      <c r="I24" s="71" t="e">
        <f>F24/B24</f>
        <v>#DIV/0!</v>
      </c>
      <c r="J24" s="72" t="e">
        <f>G24/B24</f>
        <v>#DIV/0!</v>
      </c>
      <c r="K24" s="69"/>
      <c r="L24" s="69"/>
      <c r="M24" s="68" t="e">
        <f t="shared" si="1"/>
        <v>#DIV/0!</v>
      </c>
      <c r="N24" s="68" t="e">
        <f t="shared" si="2"/>
        <v>#DIV/0!</v>
      </c>
    </row>
    <row r="25" spans="1:14" ht="23.25" customHeight="1" hidden="1">
      <c r="A25" s="63" t="s">
        <v>27</v>
      </c>
      <c r="B25" s="64"/>
      <c r="C25" s="65"/>
      <c r="D25" s="66" t="s">
        <v>3</v>
      </c>
      <c r="E25" s="65"/>
      <c r="F25" s="69"/>
      <c r="G25" s="65"/>
      <c r="H25" s="67">
        <f t="shared" si="0"/>
        <v>0</v>
      </c>
      <c r="I25" s="71" t="e">
        <f>F25/B25</f>
        <v>#DIV/0!</v>
      </c>
      <c r="J25" s="72" t="e">
        <f>G25/B25</f>
        <v>#DIV/0!</v>
      </c>
      <c r="K25" s="69"/>
      <c r="L25" s="65"/>
      <c r="M25" s="68" t="e">
        <f t="shared" si="1"/>
        <v>#DIV/0!</v>
      </c>
      <c r="N25" s="68" t="e">
        <f t="shared" si="2"/>
        <v>#DIV/0!</v>
      </c>
    </row>
    <row r="26" spans="1:14" ht="23.25" customHeight="1" hidden="1">
      <c r="A26" s="63" t="s">
        <v>28</v>
      </c>
      <c r="B26" s="64"/>
      <c r="C26" s="65"/>
      <c r="D26" s="66" t="s">
        <v>3</v>
      </c>
      <c r="E26" s="65"/>
      <c r="F26" s="65"/>
      <c r="G26" s="65"/>
      <c r="H26" s="67">
        <f t="shared" si="0"/>
        <v>0</v>
      </c>
      <c r="I26" s="71" t="e">
        <f>F26/B26</f>
        <v>#DIV/0!</v>
      </c>
      <c r="J26" s="72" t="e">
        <f>G26/B26</f>
        <v>#DIV/0!</v>
      </c>
      <c r="K26" s="65"/>
      <c r="L26" s="65"/>
      <c r="M26" s="68" t="e">
        <f t="shared" si="1"/>
        <v>#DIV/0!</v>
      </c>
      <c r="N26" s="68" t="e">
        <f t="shared" si="2"/>
        <v>#DIV/0!</v>
      </c>
    </row>
    <row r="27" spans="1:14" ht="37.5" customHeight="1" hidden="1">
      <c r="A27" s="63" t="s">
        <v>111</v>
      </c>
      <c r="B27" s="161">
        <f>B25+B30</f>
        <v>35745.8</v>
      </c>
      <c r="C27" s="161">
        <f aca="true" t="shared" si="5" ref="C27:H27">C25+C30</f>
        <v>37076.4</v>
      </c>
      <c r="D27" s="161"/>
      <c r="E27" s="161">
        <f t="shared" si="5"/>
        <v>37076.4</v>
      </c>
      <c r="F27" s="161">
        <f t="shared" si="5"/>
        <v>0</v>
      </c>
      <c r="G27" s="161">
        <f t="shared" si="5"/>
        <v>37076.4</v>
      </c>
      <c r="H27" s="161">
        <f t="shared" si="5"/>
        <v>0</v>
      </c>
      <c r="I27" s="71"/>
      <c r="J27" s="72"/>
      <c r="K27" s="65"/>
      <c r="L27" s="161">
        <f>L25+L30</f>
        <v>34846.6</v>
      </c>
      <c r="M27" s="68"/>
      <c r="N27" s="68"/>
    </row>
    <row r="28" spans="1:14" s="82" customFormat="1" ht="30" customHeight="1">
      <c r="A28" s="57" t="s">
        <v>69</v>
      </c>
      <c r="B28" s="58">
        <f>B30+B31+B32+B33+B34+B35</f>
        <v>69897.73154000001</v>
      </c>
      <c r="C28" s="58">
        <f>C30+C31+C32+C33+C34+C35</f>
        <v>58131.4</v>
      </c>
      <c r="D28" s="59" t="s">
        <v>3</v>
      </c>
      <c r="E28" s="58">
        <f>E30+E31+E32+E33+E34+E35</f>
        <v>62565.66624</v>
      </c>
      <c r="F28" s="58">
        <f>F30+F31+F32+F33+F34+F35</f>
        <v>0</v>
      </c>
      <c r="G28" s="58">
        <f>G30+G31+G32+G33+G34+G35</f>
        <v>62232.67824</v>
      </c>
      <c r="H28" s="60">
        <f aca="true" t="shared" si="6" ref="H28:H35">G28-E28</f>
        <v>-332.98799999999756</v>
      </c>
      <c r="I28" s="61">
        <f>F28/B28</f>
        <v>0</v>
      </c>
      <c r="J28" s="61">
        <f>G28/B28</f>
        <v>0.8903390263013963</v>
      </c>
      <c r="K28" s="58">
        <f>K30+K31+K32+K33+K34+K35</f>
        <v>0</v>
      </c>
      <c r="L28" s="58">
        <f>L30+L31+L32+L33+L34+L35</f>
        <v>38858.6</v>
      </c>
      <c r="M28" s="61" t="e">
        <f aca="true" t="shared" si="7" ref="M28:M47">K28/F28</f>
        <v>#DIV/0!</v>
      </c>
      <c r="N28" s="61">
        <f aca="true" t="shared" si="8" ref="N28:N93">L28/G28</f>
        <v>0.6244082867547819</v>
      </c>
    </row>
    <row r="29" spans="1:14" ht="18.75" customHeight="1">
      <c r="A29" s="73" t="s">
        <v>4</v>
      </c>
      <c r="B29" s="84"/>
      <c r="C29" s="85"/>
      <c r="D29" s="85"/>
      <c r="E29" s="85"/>
      <c r="F29" s="65"/>
      <c r="G29" s="65"/>
      <c r="H29" s="67">
        <f t="shared" si="6"/>
        <v>0</v>
      </c>
      <c r="I29" s="68"/>
      <c r="J29" s="68"/>
      <c r="K29" s="65"/>
      <c r="L29" s="65"/>
      <c r="M29" s="68" t="e">
        <f t="shared" si="7"/>
        <v>#DIV/0!</v>
      </c>
      <c r="N29" s="68" t="e">
        <f t="shared" si="8"/>
        <v>#DIV/0!</v>
      </c>
    </row>
    <row r="30" spans="1:14" ht="33" customHeight="1">
      <c r="A30" s="63" t="s">
        <v>175</v>
      </c>
      <c r="B30" s="64">
        <v>35745.8</v>
      </c>
      <c r="C30" s="65">
        <v>37076.4</v>
      </c>
      <c r="D30" s="66" t="s">
        <v>3</v>
      </c>
      <c r="E30" s="65">
        <v>37076.4</v>
      </c>
      <c r="F30" s="65"/>
      <c r="G30" s="65">
        <f>E30</f>
        <v>37076.4</v>
      </c>
      <c r="H30" s="67">
        <f t="shared" si="6"/>
        <v>0</v>
      </c>
      <c r="I30" s="71">
        <f aca="true" t="shared" si="9" ref="I30:I36">F30/B30</f>
        <v>0</v>
      </c>
      <c r="J30" s="72">
        <f aca="true" t="shared" si="10" ref="J30:J93">G30/B30</f>
        <v>1.037223953583358</v>
      </c>
      <c r="K30" s="65"/>
      <c r="L30" s="65">
        <v>34846.6</v>
      </c>
      <c r="M30" s="68" t="e">
        <f t="shared" si="7"/>
        <v>#DIV/0!</v>
      </c>
      <c r="N30" s="68">
        <f t="shared" si="8"/>
        <v>0.9398593175173425</v>
      </c>
    </row>
    <row r="31" spans="1:14" ht="63" customHeight="1" hidden="1">
      <c r="A31" s="63" t="s">
        <v>176</v>
      </c>
      <c r="B31" s="64"/>
      <c r="C31" s="65"/>
      <c r="D31" s="66" t="s">
        <v>3</v>
      </c>
      <c r="E31" s="65"/>
      <c r="F31" s="65"/>
      <c r="G31" s="65"/>
      <c r="H31" s="67">
        <f t="shared" si="6"/>
        <v>0</v>
      </c>
      <c r="I31" s="71" t="e">
        <f t="shared" si="9"/>
        <v>#DIV/0!</v>
      </c>
      <c r="J31" s="72" t="e">
        <f t="shared" si="10"/>
        <v>#DIV/0!</v>
      </c>
      <c r="K31" s="65"/>
      <c r="L31" s="65"/>
      <c r="M31" s="68" t="e">
        <f t="shared" si="7"/>
        <v>#DIV/0!</v>
      </c>
      <c r="N31" s="68" t="e">
        <f t="shared" si="8"/>
        <v>#DIV/0!</v>
      </c>
    </row>
    <row r="32" spans="1:14" ht="17.25" customHeight="1">
      <c r="A32" s="63" t="s">
        <v>70</v>
      </c>
      <c r="B32" s="64">
        <v>21189.6</v>
      </c>
      <c r="C32" s="65">
        <v>20455</v>
      </c>
      <c r="D32" s="66" t="s">
        <v>3</v>
      </c>
      <c r="E32" s="65">
        <v>22192</v>
      </c>
      <c r="F32" s="65"/>
      <c r="G32" s="65">
        <f>E32</f>
        <v>22192</v>
      </c>
      <c r="H32" s="67">
        <f t="shared" si="6"/>
        <v>0</v>
      </c>
      <c r="I32" s="71">
        <f t="shared" si="9"/>
        <v>0</v>
      </c>
      <c r="J32" s="72">
        <f t="shared" si="10"/>
        <v>1.0473062256956243</v>
      </c>
      <c r="K32" s="86"/>
      <c r="L32" s="86">
        <v>3762</v>
      </c>
      <c r="M32" s="68" t="e">
        <f t="shared" si="7"/>
        <v>#DIV/0!</v>
      </c>
      <c r="N32" s="68">
        <f t="shared" si="8"/>
        <v>0.1695205479452055</v>
      </c>
    </row>
    <row r="33" spans="1:14" ht="29.25" customHeight="1">
      <c r="A33" s="63" t="s">
        <v>71</v>
      </c>
      <c r="B33" s="64"/>
      <c r="C33" s="65"/>
      <c r="D33" s="66" t="s">
        <v>3</v>
      </c>
      <c r="E33" s="65"/>
      <c r="F33" s="65"/>
      <c r="G33" s="65"/>
      <c r="H33" s="67">
        <f t="shared" si="6"/>
        <v>0</v>
      </c>
      <c r="I33" s="71" t="e">
        <f t="shared" si="9"/>
        <v>#DIV/0!</v>
      </c>
      <c r="J33" s="72" t="e">
        <f t="shared" si="10"/>
        <v>#DIV/0!</v>
      </c>
      <c r="K33" s="65"/>
      <c r="L33" s="65"/>
      <c r="M33" s="68" t="e">
        <f t="shared" si="7"/>
        <v>#DIV/0!</v>
      </c>
      <c r="N33" s="68" t="e">
        <f t="shared" si="8"/>
        <v>#DIV/0!</v>
      </c>
    </row>
    <row r="34" spans="1:14" ht="33" customHeight="1">
      <c r="A34" s="63" t="s">
        <v>173</v>
      </c>
      <c r="B34" s="64">
        <v>4458.59</v>
      </c>
      <c r="C34" s="65">
        <v>600</v>
      </c>
      <c r="D34" s="66"/>
      <c r="E34" s="65">
        <v>3170.488</v>
      </c>
      <c r="F34" s="65"/>
      <c r="G34" s="65">
        <f>2797.5+40</f>
        <v>2837.5</v>
      </c>
      <c r="H34" s="67">
        <f t="shared" si="6"/>
        <v>-332.98799999999983</v>
      </c>
      <c r="I34" s="71">
        <f t="shared" si="9"/>
        <v>0</v>
      </c>
      <c r="J34" s="72">
        <f t="shared" si="10"/>
        <v>0.6364119598348357</v>
      </c>
      <c r="K34" s="65"/>
      <c r="L34" s="65">
        <v>250</v>
      </c>
      <c r="M34" s="68" t="e">
        <f t="shared" si="7"/>
        <v>#DIV/0!</v>
      </c>
      <c r="N34" s="68">
        <f>L34/G34</f>
        <v>0.0881057268722467</v>
      </c>
    </row>
    <row r="35" spans="1:14" ht="33" customHeight="1">
      <c r="A35" s="63" t="s">
        <v>174</v>
      </c>
      <c r="B35" s="64">
        <v>8503.74154</v>
      </c>
      <c r="C35" s="65">
        <v>0</v>
      </c>
      <c r="D35" s="66"/>
      <c r="E35" s="65">
        <v>126.77824</v>
      </c>
      <c r="F35" s="65"/>
      <c r="G35" s="65">
        <f>E35</f>
        <v>126.77824</v>
      </c>
      <c r="H35" s="67">
        <f t="shared" si="6"/>
        <v>0</v>
      </c>
      <c r="I35" s="71">
        <f t="shared" si="9"/>
        <v>0</v>
      </c>
      <c r="J35" s="72">
        <f t="shared" si="10"/>
        <v>0.014908524606922612</v>
      </c>
      <c r="K35" s="65"/>
      <c r="L35" s="65">
        <v>0</v>
      </c>
      <c r="M35" s="68" t="e">
        <f t="shared" si="7"/>
        <v>#DIV/0!</v>
      </c>
      <c r="N35" s="68">
        <f>L35/G35</f>
        <v>0</v>
      </c>
    </row>
    <row r="36" spans="1:15" s="82" customFormat="1" ht="64.5" customHeight="1">
      <c r="A36" s="51" t="s">
        <v>137</v>
      </c>
      <c r="B36" s="52">
        <f aca="true" t="shared" si="11" ref="B36:G36">B38+B59+B71+B93</f>
        <v>89292.35397999999</v>
      </c>
      <c r="C36" s="52">
        <f t="shared" si="11"/>
        <v>82347.55419</v>
      </c>
      <c r="D36" s="52">
        <f t="shared" si="11"/>
        <v>173.11388000000034</v>
      </c>
      <c r="E36" s="52">
        <f t="shared" si="11"/>
        <v>90219.18528000002</v>
      </c>
      <c r="F36" s="52">
        <f t="shared" si="11"/>
        <v>0</v>
      </c>
      <c r="G36" s="52">
        <f t="shared" si="11"/>
        <v>89780.42146</v>
      </c>
      <c r="H36" s="87">
        <f>G36-E36</f>
        <v>-438.76382000002195</v>
      </c>
      <c r="I36" s="54">
        <f t="shared" si="9"/>
        <v>0</v>
      </c>
      <c r="J36" s="54">
        <f t="shared" si="10"/>
        <v>1.0054659493029978</v>
      </c>
      <c r="K36" s="52">
        <f>K38+K59+K71+K93</f>
        <v>0</v>
      </c>
      <c r="L36" s="52">
        <f>L38+L59+L71+L93</f>
        <v>140656.63191999996</v>
      </c>
      <c r="M36" s="55" t="e">
        <f t="shared" si="7"/>
        <v>#DIV/0!</v>
      </c>
      <c r="N36" s="55">
        <f t="shared" si="8"/>
        <v>1.5666737762271132</v>
      </c>
      <c r="O36" s="178"/>
    </row>
    <row r="37" spans="1:14" ht="14.25" customHeight="1">
      <c r="A37" s="88" t="s">
        <v>4</v>
      </c>
      <c r="B37" s="89"/>
      <c r="C37" s="90"/>
      <c r="D37" s="90"/>
      <c r="E37" s="90"/>
      <c r="F37" s="90"/>
      <c r="G37" s="90"/>
      <c r="H37" s="87">
        <f>G37-E37</f>
        <v>0</v>
      </c>
      <c r="I37" s="91"/>
      <c r="J37" s="91" t="e">
        <f t="shared" si="10"/>
        <v>#DIV/0!</v>
      </c>
      <c r="K37" s="92"/>
      <c r="L37" s="92"/>
      <c r="M37" s="55" t="e">
        <f t="shared" si="7"/>
        <v>#DIV/0!</v>
      </c>
      <c r="N37" s="55" t="e">
        <f t="shared" si="8"/>
        <v>#DIV/0!</v>
      </c>
    </row>
    <row r="38" spans="1:14" s="82" customFormat="1" ht="30.75" customHeight="1">
      <c r="A38" s="57" t="s">
        <v>72</v>
      </c>
      <c r="B38" s="58">
        <f>B39+B40+B41+B43+B44+B45+B46+B47+B55+B56</f>
        <v>65626.23273999999</v>
      </c>
      <c r="C38" s="58">
        <f>C39+C40+C41+C43+C44+C45+C46+C48+C49+C50+C51+C52+C53+C54+C55+C56</f>
        <v>65524.01017999999</v>
      </c>
      <c r="D38" s="58">
        <f>D39+D40+D43+D44+D45+D46+D61+D56+D47+D41</f>
        <v>173.11388000000034</v>
      </c>
      <c r="E38" s="58">
        <f>E39+E40+E41+E43+E44+E45+E46+E48+E49+E50+E51+E52+E53+E54+E55+E56</f>
        <v>67932.68171</v>
      </c>
      <c r="F38" s="58">
        <f>F39+F40+F43+F44+F45+F46+F61+F56+F47+F41</f>
        <v>0</v>
      </c>
      <c r="G38" s="58">
        <f>G39+G40+G43+G44+G45+G46+G56+G47+G41+G55</f>
        <v>67932.68170999999</v>
      </c>
      <c r="H38" s="58">
        <f>H39+H40+H43+H44+H45+H46+H56+H47+H41</f>
        <v>0</v>
      </c>
      <c r="I38" s="61">
        <f aca="true" t="shared" si="12" ref="I38:I93">F38/B38</f>
        <v>0</v>
      </c>
      <c r="J38" s="61">
        <f t="shared" si="10"/>
        <v>1.0351452288772656</v>
      </c>
      <c r="K38" s="58">
        <f>K39+K40+K43+K44+K45+K46+K61+K56+K47+K41</f>
        <v>0</v>
      </c>
      <c r="L38" s="58">
        <f>L39+L40+L43+L44+L45+L46+L56+L47+L41+L55</f>
        <v>80573.65674999998</v>
      </c>
      <c r="M38" s="61" t="e">
        <f t="shared" si="7"/>
        <v>#DIV/0!</v>
      </c>
      <c r="N38" s="61">
        <f t="shared" si="8"/>
        <v>1.1860809071834297</v>
      </c>
    </row>
    <row r="39" spans="1:14" s="2" customFormat="1" ht="38.25" customHeight="1">
      <c r="A39" s="63" t="s">
        <v>115</v>
      </c>
      <c r="B39" s="65">
        <f>'Форма 5.6. КУ'!B39+'Форма 5.6. БУ'!B39</f>
        <v>46449.31383</v>
      </c>
      <c r="C39" s="65">
        <f>'Форма 5.6. КУ'!C39+'Форма 5.6. БУ'!C39</f>
        <v>48916.27041</v>
      </c>
      <c r="D39" s="65">
        <f>C39-E39</f>
        <v>98.47206000000006</v>
      </c>
      <c r="E39" s="69">
        <f>'Форма 5.6. КУ'!E39+'Форма 5.6. БУ'!E39</f>
        <v>48817.79835</v>
      </c>
      <c r="F39" s="65"/>
      <c r="G39" s="65">
        <f>E39</f>
        <v>48817.79835</v>
      </c>
      <c r="H39" s="67">
        <f aca="true" t="shared" si="13" ref="H39:H46">G39-E39</f>
        <v>0</v>
      </c>
      <c r="I39" s="93">
        <f t="shared" si="12"/>
        <v>0</v>
      </c>
      <c r="J39" s="93">
        <f t="shared" si="10"/>
        <v>1.0509907321487766</v>
      </c>
      <c r="K39" s="65"/>
      <c r="L39" s="65">
        <f>53685.39375+320.9+96.96+75.81+704.95</f>
        <v>54884.01375</v>
      </c>
      <c r="M39" s="68" t="e">
        <f t="shared" si="7"/>
        <v>#DIV/0!</v>
      </c>
      <c r="N39" s="68">
        <f t="shared" si="8"/>
        <v>1.1242623716151263</v>
      </c>
    </row>
    <row r="40" spans="1:14" s="100" customFormat="1" ht="42" customHeight="1">
      <c r="A40" s="63" t="s">
        <v>116</v>
      </c>
      <c r="B40" s="65">
        <f>'Форма 5.6. КУ'!B40+'Форма 5.6. БУ'!B40</f>
        <v>1858.0017</v>
      </c>
      <c r="C40" s="65">
        <f>'Форма 5.6. КУ'!C40+'Форма 5.6. БУ'!C40</f>
        <v>2544.842</v>
      </c>
      <c r="D40" s="65">
        <f>C40-E40</f>
        <v>74.64182000000028</v>
      </c>
      <c r="E40" s="65">
        <f>'Форма 5.6. КУ'!E40+'Форма 5.6. БУ'!E40</f>
        <v>2470.20018</v>
      </c>
      <c r="F40" s="96"/>
      <c r="G40" s="65">
        <f>E40</f>
        <v>2470.20018</v>
      </c>
      <c r="H40" s="67">
        <f t="shared" si="13"/>
        <v>0</v>
      </c>
      <c r="I40" s="93">
        <f t="shared" si="12"/>
        <v>0</v>
      </c>
      <c r="J40" s="93">
        <f t="shared" si="10"/>
        <v>1.3294929600979373</v>
      </c>
      <c r="K40" s="85"/>
      <c r="L40" s="85">
        <v>4592.543</v>
      </c>
      <c r="M40" s="98" t="e">
        <f t="shared" si="7"/>
        <v>#DIV/0!</v>
      </c>
      <c r="N40" s="98">
        <f t="shared" si="8"/>
        <v>1.859178473543792</v>
      </c>
    </row>
    <row r="41" spans="1:14" s="100" customFormat="1" ht="29.25" customHeight="1">
      <c r="A41" s="101" t="s">
        <v>77</v>
      </c>
      <c r="B41" s="65">
        <f>'Форма 5.6. КУ'!B41+'Форма 5.6. БУ'!B41</f>
        <v>0</v>
      </c>
      <c r="C41" s="65">
        <f>'Форма 5.6. КУ'!C41+'Форма 5.6. БУ'!C41</f>
        <v>0</v>
      </c>
      <c r="D41" s="65"/>
      <c r="E41" s="65">
        <f>'Форма 5.6. КУ'!E41+'Форма 5.6. БУ'!E41</f>
        <v>0</v>
      </c>
      <c r="F41" s="96"/>
      <c r="G41" s="65">
        <f>E41</f>
        <v>0</v>
      </c>
      <c r="H41" s="67">
        <f t="shared" si="13"/>
        <v>0</v>
      </c>
      <c r="I41" s="93" t="e">
        <f t="shared" si="12"/>
        <v>#DIV/0!</v>
      </c>
      <c r="J41" s="93" t="e">
        <f t="shared" si="10"/>
        <v>#DIV/0!</v>
      </c>
      <c r="K41" s="85"/>
      <c r="L41" s="85">
        <v>0</v>
      </c>
      <c r="M41" s="98" t="e">
        <f t="shared" si="7"/>
        <v>#DIV/0!</v>
      </c>
      <c r="N41" s="98" t="e">
        <f t="shared" si="8"/>
        <v>#DIV/0!</v>
      </c>
    </row>
    <row r="42" spans="1:14" s="100" customFormat="1" ht="34.5" customHeight="1">
      <c r="A42" s="63" t="s">
        <v>122</v>
      </c>
      <c r="B42" s="65">
        <f>'Форма 5.6. КУ'!B42+'Форма 5.6. БУ'!B42</f>
        <v>16515.016069999998</v>
      </c>
      <c r="C42" s="65">
        <f>'Форма 5.6. КУ'!C42+'Форма 5.6. БУ'!C42</f>
        <v>13236.08577</v>
      </c>
      <c r="D42" s="167">
        <f>D43+D44+D45+D46+D47+D55</f>
        <v>0</v>
      </c>
      <c r="E42" s="65">
        <f>E43+E44+E45+E46+E47+E55</f>
        <v>15644.473549999999</v>
      </c>
      <c r="F42" s="167">
        <f>F43+F44+F45+F46+F47+F55</f>
        <v>0</v>
      </c>
      <c r="G42" s="65">
        <f>G43+G44+G45+G46+G47+G55</f>
        <v>15644.473549999999</v>
      </c>
      <c r="H42" s="67">
        <f t="shared" si="13"/>
        <v>0</v>
      </c>
      <c r="I42" s="93">
        <f t="shared" si="12"/>
        <v>0</v>
      </c>
      <c r="J42" s="93">
        <f t="shared" si="10"/>
        <v>0.9472878187759463</v>
      </c>
      <c r="K42" s="167">
        <f>K43+K44+K45+K46+K47+K55</f>
        <v>0</v>
      </c>
      <c r="L42" s="167">
        <f>L43+L44+L45+L46+L47+L55</f>
        <v>20296.370000000003</v>
      </c>
      <c r="M42" s="98" t="e">
        <f t="shared" si="7"/>
        <v>#DIV/0!</v>
      </c>
      <c r="N42" s="98">
        <f t="shared" si="8"/>
        <v>1.2973507823789956</v>
      </c>
    </row>
    <row r="43" spans="1:14" s="99" customFormat="1" ht="15" customHeight="1">
      <c r="A43" s="73" t="s">
        <v>81</v>
      </c>
      <c r="B43" s="65">
        <f>'Форма 5.6. КУ'!B43+'Форма 5.6. БУ'!B43</f>
        <v>1090.1947599999999</v>
      </c>
      <c r="C43" s="65">
        <f>'Форма 5.6. КУ'!C43+'Форма 5.6. БУ'!C43</f>
        <v>1002.13</v>
      </c>
      <c r="D43" s="85"/>
      <c r="E43" s="65">
        <f>'Форма 5.6. КУ'!E43+'Форма 5.6. БУ'!E43</f>
        <v>1120.16388</v>
      </c>
      <c r="F43" s="96"/>
      <c r="G43" s="85">
        <f>E43</f>
        <v>1120.16388</v>
      </c>
      <c r="H43" s="135">
        <f t="shared" si="13"/>
        <v>0</v>
      </c>
      <c r="I43" s="93">
        <f t="shared" si="12"/>
        <v>0</v>
      </c>
      <c r="J43" s="93">
        <f t="shared" si="10"/>
        <v>1.027489693676385</v>
      </c>
      <c r="K43" s="85"/>
      <c r="L43" s="85">
        <v>1247.29</v>
      </c>
      <c r="M43" s="98" t="e">
        <f t="shared" si="7"/>
        <v>#DIV/0!</v>
      </c>
      <c r="N43" s="98">
        <f t="shared" si="8"/>
        <v>1.1134888584338212</v>
      </c>
    </row>
    <row r="44" spans="1:14" s="99" customFormat="1" ht="15" customHeight="1">
      <c r="A44" s="73" t="s">
        <v>80</v>
      </c>
      <c r="B44" s="65">
        <f>'Форма 5.6. КУ'!B44+'Форма 5.6. БУ'!B44</f>
        <v>402.1779</v>
      </c>
      <c r="C44" s="65">
        <f>'Форма 5.6. КУ'!C44+'Форма 5.6. БУ'!C44</f>
        <v>3</v>
      </c>
      <c r="D44" s="85"/>
      <c r="E44" s="65">
        <f>'Форма 5.6. КУ'!E44+'Форма 5.6. БУ'!E44</f>
        <v>59.55713</v>
      </c>
      <c r="F44" s="96"/>
      <c r="G44" s="85">
        <f aca="true" t="shared" si="14" ref="G44:G56">E44</f>
        <v>59.55713</v>
      </c>
      <c r="H44" s="135">
        <f t="shared" si="13"/>
        <v>0</v>
      </c>
      <c r="I44" s="93">
        <f t="shared" si="12"/>
        <v>0</v>
      </c>
      <c r="J44" s="93">
        <f t="shared" si="10"/>
        <v>0.14808653086109405</v>
      </c>
      <c r="K44" s="85"/>
      <c r="L44" s="85">
        <v>52</v>
      </c>
      <c r="M44" s="98" t="e">
        <f t="shared" si="7"/>
        <v>#DIV/0!</v>
      </c>
      <c r="N44" s="98">
        <f t="shared" si="8"/>
        <v>0.8731112462941045</v>
      </c>
    </row>
    <row r="45" spans="1:14" s="99" customFormat="1" ht="15" customHeight="1">
      <c r="A45" s="73" t="s">
        <v>78</v>
      </c>
      <c r="B45" s="65">
        <f>'Форма 5.6. КУ'!B45+'Форма 5.6. БУ'!B45</f>
        <v>7130.18638</v>
      </c>
      <c r="C45" s="65">
        <f>'Форма 5.6. КУ'!C45+'Форма 5.6. БУ'!C45</f>
        <v>7595.76607</v>
      </c>
      <c r="D45" s="85"/>
      <c r="E45" s="65">
        <f>'Форма 5.6. КУ'!E45+'Форма 5.6. БУ'!E45</f>
        <v>8003.1868699999995</v>
      </c>
      <c r="F45" s="96"/>
      <c r="G45" s="85">
        <f t="shared" si="14"/>
        <v>8003.1868699999995</v>
      </c>
      <c r="H45" s="135">
        <f t="shared" si="13"/>
        <v>0</v>
      </c>
      <c r="I45" s="93">
        <f t="shared" si="12"/>
        <v>0</v>
      </c>
      <c r="J45" s="93">
        <f t="shared" si="10"/>
        <v>1.1224372608896656</v>
      </c>
      <c r="K45" s="85"/>
      <c r="L45" s="85">
        <v>8312.34</v>
      </c>
      <c r="M45" s="98" t="e">
        <f t="shared" si="7"/>
        <v>#DIV/0!</v>
      </c>
      <c r="N45" s="98">
        <f t="shared" si="8"/>
        <v>1.038628753148182</v>
      </c>
    </row>
    <row r="46" spans="1:14" s="99" customFormat="1" ht="30.75" customHeight="1">
      <c r="A46" s="73" t="s">
        <v>79</v>
      </c>
      <c r="B46" s="65">
        <f>'Форма 5.6. КУ'!B46+'Форма 5.6. БУ'!B46</f>
        <v>0</v>
      </c>
      <c r="C46" s="65">
        <f>'Форма 5.6. КУ'!C46+'Форма 5.6. БУ'!C46</f>
        <v>0</v>
      </c>
      <c r="D46" s="85"/>
      <c r="E46" s="65">
        <f>'Форма 5.6. КУ'!E46+'Форма 5.6. БУ'!E46</f>
        <v>0</v>
      </c>
      <c r="F46" s="85"/>
      <c r="G46" s="85">
        <f t="shared" si="14"/>
        <v>0</v>
      </c>
      <c r="H46" s="135">
        <f t="shared" si="13"/>
        <v>0</v>
      </c>
      <c r="I46" s="93" t="e">
        <f t="shared" si="12"/>
        <v>#DIV/0!</v>
      </c>
      <c r="J46" s="93" t="e">
        <f t="shared" si="10"/>
        <v>#DIV/0!</v>
      </c>
      <c r="K46" s="85"/>
      <c r="L46" s="85">
        <v>0</v>
      </c>
      <c r="M46" s="98" t="e">
        <f t="shared" si="7"/>
        <v>#DIV/0!</v>
      </c>
      <c r="N46" s="98" t="e">
        <f t="shared" si="8"/>
        <v>#DIV/0!</v>
      </c>
    </row>
    <row r="47" spans="1:14" s="99" customFormat="1" ht="30.75" customHeight="1">
      <c r="A47" s="136" t="s">
        <v>82</v>
      </c>
      <c r="B47" s="65">
        <f>'Форма 5.6. КУ'!B47+'Форма 5.6. БУ'!B47</f>
        <v>4907.1811099999995</v>
      </c>
      <c r="C47" s="65">
        <f>'Форма 5.6. КУ'!C47+'Форма 5.6. БУ'!C47</f>
        <v>3182.96674</v>
      </c>
      <c r="D47" s="65">
        <f>'Форма 5.6. КУ'!D47+'Форма 5.6. БУ'!D47</f>
        <v>0</v>
      </c>
      <c r="E47" s="65">
        <f>SUM(E48:E54)</f>
        <v>3971.5722499999997</v>
      </c>
      <c r="F47" s="65">
        <f aca="true" t="shared" si="15" ref="F47:L47">SUM(F48:F54)</f>
        <v>0</v>
      </c>
      <c r="G47" s="65">
        <f t="shared" si="15"/>
        <v>3971.5722499999997</v>
      </c>
      <c r="H47" s="65">
        <f t="shared" si="15"/>
        <v>0</v>
      </c>
      <c r="I47" s="65" t="e">
        <f t="shared" si="15"/>
        <v>#DIV/0!</v>
      </c>
      <c r="J47" s="65" t="e">
        <f t="shared" si="15"/>
        <v>#DIV/0!</v>
      </c>
      <c r="K47" s="65">
        <f t="shared" si="15"/>
        <v>0</v>
      </c>
      <c r="L47" s="65">
        <f t="shared" si="15"/>
        <v>5497.04</v>
      </c>
      <c r="M47" s="98" t="e">
        <f t="shared" si="7"/>
        <v>#DIV/0!</v>
      </c>
      <c r="N47" s="98">
        <f t="shared" si="8"/>
        <v>1.3840966886602655</v>
      </c>
    </row>
    <row r="48" spans="1:14" s="99" customFormat="1" ht="30.75" customHeight="1">
      <c r="A48" s="174" t="s">
        <v>210</v>
      </c>
      <c r="B48" s="65">
        <f>'Форма 5.6. КУ'!B48+'Форма 5.6. БУ'!B48</f>
        <v>0</v>
      </c>
      <c r="C48" s="65">
        <f>'Форма 5.6. КУ'!C48+'Форма 5.6. БУ'!C48</f>
        <v>0</v>
      </c>
      <c r="D48" s="65">
        <f>'Форма 5.6. КУ'!D48+'Форма 5.6. БУ'!D48</f>
        <v>0</v>
      </c>
      <c r="E48" s="65">
        <f>'Форма 5.6. КУ'!E48+'Форма 5.6. БУ'!E48</f>
        <v>4.41673</v>
      </c>
      <c r="F48" s="65">
        <f>'Форма 5.6. КУ'!F48+'Форма 5.6. БУ'!F48</f>
        <v>0</v>
      </c>
      <c r="G48" s="85">
        <f t="shared" si="14"/>
        <v>4.41673</v>
      </c>
      <c r="H48" s="135"/>
      <c r="I48" s="93"/>
      <c r="J48" s="93"/>
      <c r="K48" s="85"/>
      <c r="L48" s="85">
        <v>4.95</v>
      </c>
      <c r="M48" s="98"/>
      <c r="N48" s="98"/>
    </row>
    <row r="49" spans="1:14" s="99" customFormat="1" ht="15" customHeight="1">
      <c r="A49" s="174" t="s">
        <v>204</v>
      </c>
      <c r="B49" s="65">
        <f>'Форма 5.6. КУ'!B49+'Форма 5.6. БУ'!B49</f>
        <v>0</v>
      </c>
      <c r="C49" s="65">
        <f>'Форма 5.6. КУ'!C49+'Форма 5.6. БУ'!C49</f>
        <v>73</v>
      </c>
      <c r="D49" s="65">
        <f>'Форма 5.6. КУ'!D49+'Форма 5.6. БУ'!D49</f>
        <v>0</v>
      </c>
      <c r="E49" s="65">
        <f>'Форма 5.6. КУ'!E49+'Форма 5.6. БУ'!E49</f>
        <v>73</v>
      </c>
      <c r="F49" s="65">
        <f>'Форма 5.6. КУ'!F49+'Форма 5.6. БУ'!F49</f>
        <v>0</v>
      </c>
      <c r="G49" s="85">
        <f t="shared" si="14"/>
        <v>73</v>
      </c>
      <c r="H49" s="135">
        <f>G49-E49</f>
        <v>0</v>
      </c>
      <c r="I49" s="93" t="e">
        <f t="shared" si="12"/>
        <v>#DIV/0!</v>
      </c>
      <c r="J49" s="93" t="e">
        <f t="shared" si="10"/>
        <v>#DIV/0!</v>
      </c>
      <c r="K49" s="85"/>
      <c r="L49" s="85">
        <v>137.37</v>
      </c>
      <c r="M49" s="98" t="e">
        <f>K49/F49</f>
        <v>#DIV/0!</v>
      </c>
      <c r="N49" s="98">
        <f>L49/G49</f>
        <v>1.8817808219178083</v>
      </c>
    </row>
    <row r="50" spans="1:14" s="99" customFormat="1" ht="20.25" customHeight="1">
      <c r="A50" s="174" t="s">
        <v>205</v>
      </c>
      <c r="B50" s="65">
        <f>'Форма 5.6. КУ'!B50+'Форма 5.6. БУ'!B50</f>
        <v>0</v>
      </c>
      <c r="C50" s="65">
        <f>'Форма 5.6. КУ'!C50+'Форма 5.6. БУ'!C50</f>
        <v>2067.48528</v>
      </c>
      <c r="D50" s="65">
        <f>'Форма 5.6. КУ'!D50+'Форма 5.6. БУ'!D50</f>
        <v>0</v>
      </c>
      <c r="E50" s="65">
        <f>'Форма 5.6. КУ'!E50+'Форма 5.6. БУ'!E50</f>
        <v>2038.5184199999999</v>
      </c>
      <c r="F50" s="65">
        <f>'Форма 5.6. КУ'!F50+'Форма 5.6. БУ'!F50</f>
        <v>0</v>
      </c>
      <c r="G50" s="85">
        <f t="shared" si="14"/>
        <v>2038.5184199999999</v>
      </c>
      <c r="H50" s="135"/>
      <c r="I50" s="93"/>
      <c r="J50" s="93"/>
      <c r="K50" s="85"/>
      <c r="L50" s="85">
        <v>2346.38</v>
      </c>
      <c r="M50" s="98"/>
      <c r="N50" s="98">
        <f>L50/G50</f>
        <v>1.1510222213248387</v>
      </c>
    </row>
    <row r="51" spans="1:14" s="99" customFormat="1" ht="15" customHeight="1">
      <c r="A51" s="174" t="s">
        <v>211</v>
      </c>
      <c r="B51" s="65">
        <f>'Форма 5.6. КУ'!B51+'Форма 5.6. БУ'!B51</f>
        <v>0</v>
      </c>
      <c r="C51" s="65">
        <f>'Форма 5.6. КУ'!C51+'Форма 5.6. БУ'!C51</f>
        <v>0</v>
      </c>
      <c r="D51" s="65">
        <f>'Форма 5.6. КУ'!D51+'Форма 5.6. БУ'!D51</f>
        <v>0</v>
      </c>
      <c r="E51" s="65">
        <f>'Форма 5.6. КУ'!E51+'Форма 5.6. БУ'!E51</f>
        <v>275.27911</v>
      </c>
      <c r="F51" s="65">
        <f>'Форма 5.6. КУ'!F51+'Форма 5.6. БУ'!F51</f>
        <v>0</v>
      </c>
      <c r="G51" s="85">
        <f t="shared" si="14"/>
        <v>275.27911</v>
      </c>
      <c r="H51" s="135"/>
      <c r="I51" s="93"/>
      <c r="J51" s="93"/>
      <c r="K51" s="85"/>
      <c r="L51" s="85">
        <v>69.65</v>
      </c>
      <c r="M51" s="98"/>
      <c r="N51" s="98">
        <f>L51/G51</f>
        <v>0.25301592990474286</v>
      </c>
    </row>
    <row r="52" spans="1:14" s="99" customFormat="1" ht="15" customHeight="1">
      <c r="A52" s="174" t="s">
        <v>212</v>
      </c>
      <c r="B52" s="65">
        <f>'Форма 5.6. КУ'!B52+'Форма 5.6. БУ'!B52</f>
        <v>0</v>
      </c>
      <c r="C52" s="65">
        <f>'Форма 5.6. КУ'!C52+'Форма 5.6. БУ'!C52</f>
        <v>23.5</v>
      </c>
      <c r="D52" s="65">
        <f>'Форма 5.6. КУ'!D52+'Форма 5.6. БУ'!D52</f>
        <v>0</v>
      </c>
      <c r="E52" s="65">
        <f>'Форма 5.6. КУ'!E52+'Форма 5.6. БУ'!E52</f>
        <v>31.53259</v>
      </c>
      <c r="F52" s="65">
        <f>'Форма 5.6. КУ'!F52+'Форма 5.6. БУ'!F52</f>
        <v>0</v>
      </c>
      <c r="G52" s="85">
        <f t="shared" si="14"/>
        <v>31.53259</v>
      </c>
      <c r="H52" s="135"/>
      <c r="I52" s="93"/>
      <c r="J52" s="93"/>
      <c r="K52" s="85"/>
      <c r="L52" s="85">
        <v>67.27</v>
      </c>
      <c r="M52" s="98"/>
      <c r="N52" s="98">
        <f>L52/G52</f>
        <v>2.133348386542304</v>
      </c>
    </row>
    <row r="53" spans="1:14" s="99" customFormat="1" ht="25.5" customHeight="1">
      <c r="A53" s="174" t="s">
        <v>213</v>
      </c>
      <c r="B53" s="65">
        <f>'Форма 5.6. КУ'!B53+'Форма 5.6. БУ'!B53</f>
        <v>0</v>
      </c>
      <c r="C53" s="65">
        <f>'Форма 5.6. КУ'!C53+'Форма 5.6. БУ'!C53</f>
        <v>714.20485</v>
      </c>
      <c r="D53" s="65">
        <f>'Форма 5.6. КУ'!D53+'Форма 5.6. БУ'!D53</f>
        <v>0</v>
      </c>
      <c r="E53" s="65">
        <f>'Форма 5.6. КУ'!E53+'Форма 5.6. БУ'!E53</f>
        <v>1262.79437</v>
      </c>
      <c r="F53" s="65">
        <f>'Форма 5.6. КУ'!F53+'Форма 5.6. БУ'!F53</f>
        <v>0</v>
      </c>
      <c r="G53" s="85">
        <f t="shared" si="14"/>
        <v>1262.79437</v>
      </c>
      <c r="H53" s="135"/>
      <c r="I53" s="93"/>
      <c r="J53" s="93"/>
      <c r="K53" s="85"/>
      <c r="L53" s="85">
        <v>2072.12</v>
      </c>
      <c r="M53" s="98"/>
      <c r="N53" s="98">
        <f>L53/G53</f>
        <v>1.6409005687917344</v>
      </c>
    </row>
    <row r="54" spans="1:14" s="99" customFormat="1" ht="25.5" customHeight="1">
      <c r="A54" s="174" t="s">
        <v>214</v>
      </c>
      <c r="B54" s="65">
        <f>'Форма 5.6. КУ'!B54+'Форма 5.6. БУ'!B54</f>
        <v>0</v>
      </c>
      <c r="C54" s="65">
        <f>'Форма 5.6. КУ'!C54+'Форма 5.6. БУ'!C54</f>
        <v>304.77661</v>
      </c>
      <c r="D54" s="65">
        <f>'Форма 5.6. КУ'!D54+'Форма 5.6. БУ'!D54</f>
        <v>0</v>
      </c>
      <c r="E54" s="65">
        <f>'Форма 5.6. КУ'!E54+'Форма 5.6. БУ'!E54</f>
        <v>286.03103</v>
      </c>
      <c r="F54" s="65">
        <f>'Форма 5.6. КУ'!F54+'Форма 5.6. БУ'!F54</f>
        <v>0</v>
      </c>
      <c r="G54" s="85">
        <f t="shared" si="14"/>
        <v>286.03103</v>
      </c>
      <c r="H54" s="135"/>
      <c r="I54" s="93"/>
      <c r="J54" s="93"/>
      <c r="K54" s="85"/>
      <c r="L54" s="85">
        <v>799.3</v>
      </c>
      <c r="M54" s="98"/>
      <c r="N54" s="98">
        <f>L54/G54</f>
        <v>2.7944520564779283</v>
      </c>
    </row>
    <row r="55" spans="1:14" s="99" customFormat="1" ht="29.25" customHeight="1">
      <c r="A55" s="136" t="s">
        <v>128</v>
      </c>
      <c r="B55" s="65">
        <f>'Форма 5.6. КУ'!B55+'Форма 5.6. БУ'!B55</f>
        <v>2985.27592</v>
      </c>
      <c r="C55" s="65">
        <f>'Форма 5.6. КУ'!C55+'Форма 5.6. БУ'!C55</f>
        <v>1452.22296</v>
      </c>
      <c r="D55" s="65">
        <f>'Форма 5.6. КУ'!D55+'Форма 5.6. БУ'!D55</f>
        <v>0</v>
      </c>
      <c r="E55" s="65">
        <f>'Форма 5.6. КУ'!E55+'Форма 5.6. БУ'!E55</f>
        <v>2489.9934200000002</v>
      </c>
      <c r="F55" s="65">
        <f>'Форма 5.6. КУ'!F55+'Форма 5.6. БУ'!F55</f>
        <v>0</v>
      </c>
      <c r="G55" s="85">
        <f t="shared" si="14"/>
        <v>2489.9934200000002</v>
      </c>
      <c r="H55" s="135">
        <f aca="true" t="shared" si="16" ref="H55:H66">G55-E55</f>
        <v>0</v>
      </c>
      <c r="I55" s="93">
        <f t="shared" si="12"/>
        <v>0</v>
      </c>
      <c r="J55" s="93">
        <f t="shared" si="10"/>
        <v>0.8340915502376746</v>
      </c>
      <c r="K55" s="85"/>
      <c r="L55" s="85">
        <v>5187.7</v>
      </c>
      <c r="M55" s="98" t="e">
        <f aca="true" t="shared" si="17" ref="M55:M68">K55/F55</f>
        <v>#DIV/0!</v>
      </c>
      <c r="N55" s="98">
        <f t="shared" si="8"/>
        <v>2.0834191602000294</v>
      </c>
    </row>
    <row r="56" spans="1:14" s="100" customFormat="1" ht="18" customHeight="1">
      <c r="A56" s="101" t="s">
        <v>124</v>
      </c>
      <c r="B56" s="65">
        <f>'Форма 5.6. КУ'!B56+'Форма 5.6. БУ'!B56</f>
        <v>803.9011399999999</v>
      </c>
      <c r="C56" s="65">
        <f>'Форма 5.6. КУ'!C56+'Форма 5.6. БУ'!C56</f>
        <v>826.812</v>
      </c>
      <c r="D56" s="65">
        <f>'Форма 5.6. КУ'!D56+'Форма 5.6. БУ'!D56</f>
        <v>0</v>
      </c>
      <c r="E56" s="65">
        <f>'Форма 5.6. КУ'!E56+'Форма 5.6. БУ'!E56</f>
        <v>1000.2096300000001</v>
      </c>
      <c r="F56" s="65">
        <f>'Форма 5.6. КУ'!F56+'Форма 5.6. БУ'!F56</f>
        <v>0</v>
      </c>
      <c r="G56" s="85">
        <f t="shared" si="14"/>
        <v>1000.2096300000001</v>
      </c>
      <c r="H56" s="67">
        <f t="shared" si="16"/>
        <v>0</v>
      </c>
      <c r="I56" s="93">
        <f t="shared" si="12"/>
        <v>0</v>
      </c>
      <c r="J56" s="93">
        <f t="shared" si="10"/>
        <v>1.244194814800238</v>
      </c>
      <c r="K56" s="85"/>
      <c r="L56" s="85">
        <v>800.73</v>
      </c>
      <c r="M56" s="98" t="e">
        <f t="shared" si="17"/>
        <v>#DIV/0!</v>
      </c>
      <c r="N56" s="98">
        <f t="shared" si="8"/>
        <v>0.8005621781505943</v>
      </c>
    </row>
    <row r="57" spans="1:14" ht="33" customHeight="1">
      <c r="A57" s="63" t="s">
        <v>123</v>
      </c>
      <c r="B57" s="68">
        <f>B38/B7</f>
        <v>0.696948753873232</v>
      </c>
      <c r="C57" s="68">
        <f>C38/C7</f>
        <v>0.7957005497393862</v>
      </c>
      <c r="D57" s="68"/>
      <c r="E57" s="68">
        <f>E38/E7</f>
        <v>0.7827980294195124</v>
      </c>
      <c r="F57" s="68" t="e">
        <f>F38/F7</f>
        <v>#DIV/0!</v>
      </c>
      <c r="G57" s="68">
        <f>G38/G7</f>
        <v>0.7895658398520118</v>
      </c>
      <c r="H57" s="102">
        <f t="shared" si="16"/>
        <v>0.00676781043249941</v>
      </c>
      <c r="I57" s="68" t="e">
        <f t="shared" si="12"/>
        <v>#DIV/0!</v>
      </c>
      <c r="J57" s="68">
        <f t="shared" si="10"/>
        <v>1.132889377395495</v>
      </c>
      <c r="K57" s="68" t="e">
        <f>K38/K7</f>
        <v>#DIV/0!</v>
      </c>
      <c r="L57" s="68">
        <f>L38/L7</f>
        <v>1.2809895007984553</v>
      </c>
      <c r="M57" s="68" t="e">
        <f t="shared" si="17"/>
        <v>#DIV/0!</v>
      </c>
      <c r="N57" s="68">
        <f t="shared" si="8"/>
        <v>1.6223973177949935</v>
      </c>
    </row>
    <row r="58" spans="1:14" ht="18" customHeight="1">
      <c r="A58" s="63" t="s">
        <v>73</v>
      </c>
      <c r="B58" s="68">
        <f>B39/B7</f>
        <v>0.4932904120878109</v>
      </c>
      <c r="C58" s="68">
        <f>C39/C7</f>
        <v>0.5940219951360352</v>
      </c>
      <c r="D58" s="68"/>
      <c r="E58" s="68">
        <f>E39/E7</f>
        <v>0.5625344883647332</v>
      </c>
      <c r="F58" s="68" t="e">
        <f>F39/F7</f>
        <v>#DIV/0!</v>
      </c>
      <c r="G58" s="68">
        <f>G39/G7</f>
        <v>0.5673979737542134</v>
      </c>
      <c r="H58" s="102">
        <f t="shared" si="16"/>
        <v>0.004863485389480227</v>
      </c>
      <c r="I58" s="68" t="e">
        <f t="shared" si="12"/>
        <v>#DIV/0!</v>
      </c>
      <c r="J58" s="68">
        <f t="shared" si="10"/>
        <v>1.150231100889937</v>
      </c>
      <c r="K58" s="68" t="e">
        <f>K39/K7</f>
        <v>#DIV/0!</v>
      </c>
      <c r="L58" s="68">
        <f>L39/L7</f>
        <v>0.8725661489284223</v>
      </c>
      <c r="M58" s="68" t="e">
        <f t="shared" si="17"/>
        <v>#DIV/0!</v>
      </c>
      <c r="N58" s="68">
        <f t="shared" si="8"/>
        <v>1.5378379713890242</v>
      </c>
    </row>
    <row r="59" spans="1:14" s="82" customFormat="1" ht="30" customHeight="1">
      <c r="A59" s="57" t="s">
        <v>74</v>
      </c>
      <c r="B59" s="58">
        <f>B60+B61+B62+B65+B66+B67+B63+B64</f>
        <v>13420.452019999999</v>
      </c>
      <c r="C59" s="58">
        <f>C60+C61+C62+C65+C66+C67+C63</f>
        <v>9232.411720000002</v>
      </c>
      <c r="D59" s="58">
        <f>D60+D61+D62+D65+D66+D67</f>
        <v>0</v>
      </c>
      <c r="E59" s="58">
        <f>E60+E61+E62+E65+E66+E67+E63</f>
        <v>11910.86461</v>
      </c>
      <c r="F59" s="58">
        <f>F60+F61+F62+F65+F66+F67</f>
        <v>0</v>
      </c>
      <c r="G59" s="58">
        <f>G60+G61+G62+G65+G66+G67+G63</f>
        <v>11472.10079</v>
      </c>
      <c r="H59" s="60">
        <f t="shared" si="16"/>
        <v>-438.7638200000001</v>
      </c>
      <c r="I59" s="61">
        <f t="shared" si="12"/>
        <v>0</v>
      </c>
      <c r="J59" s="61">
        <f t="shared" si="10"/>
        <v>0.8548222349667177</v>
      </c>
      <c r="K59" s="58">
        <f>K60+K61+K62+K65+K66+K67</f>
        <v>0</v>
      </c>
      <c r="L59" s="58">
        <f>L60+L61+L62+L65+L66+L67+L63</f>
        <v>51622.745169999995</v>
      </c>
      <c r="M59" s="61" t="e">
        <f t="shared" si="17"/>
        <v>#DIV/0!</v>
      </c>
      <c r="N59" s="61">
        <f t="shared" si="8"/>
        <v>4.499851083508481</v>
      </c>
    </row>
    <row r="60" spans="1:14" s="100" customFormat="1" ht="23.25" customHeight="1">
      <c r="A60" s="63" t="s">
        <v>125</v>
      </c>
      <c r="B60" s="65">
        <f>'Форма 5.6. КУ'!B60+'Форма 5.6. БУ'!B60</f>
        <v>589.73225</v>
      </c>
      <c r="C60" s="65">
        <f>'Форма 5.6. КУ'!C60+'Форма 5.6. БУ'!C60</f>
        <v>0</v>
      </c>
      <c r="D60" s="65">
        <f>'Форма 5.6. КУ'!D60+'Форма 5.6. БУ'!D60</f>
        <v>0</v>
      </c>
      <c r="E60" s="65">
        <f>'Форма 5.6. КУ'!E60+'Форма 5.6. БУ'!E60</f>
        <v>0</v>
      </c>
      <c r="F60" s="65"/>
      <c r="G60" s="65">
        <f>E60</f>
        <v>0</v>
      </c>
      <c r="H60" s="67">
        <f t="shared" si="16"/>
        <v>0</v>
      </c>
      <c r="I60" s="93">
        <f t="shared" si="12"/>
        <v>0</v>
      </c>
      <c r="J60" s="93">
        <f t="shared" si="10"/>
        <v>0</v>
      </c>
      <c r="K60" s="85"/>
      <c r="L60" s="85">
        <v>250</v>
      </c>
      <c r="M60" s="98" t="e">
        <f t="shared" si="17"/>
        <v>#DIV/0!</v>
      </c>
      <c r="N60" s="98" t="e">
        <f t="shared" si="8"/>
        <v>#DIV/0!</v>
      </c>
    </row>
    <row r="61" spans="1:14" s="100" customFormat="1" ht="18" customHeight="1">
      <c r="A61" s="63" t="s">
        <v>117</v>
      </c>
      <c r="B61" s="65">
        <f>'Форма 5.6. КУ'!B61+'Форма 5.6. БУ'!B61</f>
        <v>66.6</v>
      </c>
      <c r="C61" s="65">
        <f>'Форма 5.6. КУ'!C61+'Форма 5.6. БУ'!C61</f>
        <v>104</v>
      </c>
      <c r="D61" s="65">
        <f>'Форма 5.6. КУ'!D61+'Форма 5.6. БУ'!D61</f>
        <v>0</v>
      </c>
      <c r="E61" s="65">
        <f>'Форма 5.6. КУ'!E61+'Форма 5.6. БУ'!E61</f>
        <v>112.77</v>
      </c>
      <c r="F61" s="96"/>
      <c r="G61" s="65">
        <f aca="true" t="shared" si="18" ref="G61:G69">E61</f>
        <v>112.77</v>
      </c>
      <c r="H61" s="67">
        <f t="shared" si="16"/>
        <v>0</v>
      </c>
      <c r="I61" s="93">
        <f t="shared" si="12"/>
        <v>0</v>
      </c>
      <c r="J61" s="93">
        <f t="shared" si="10"/>
        <v>1.6932432432432434</v>
      </c>
      <c r="K61" s="85"/>
      <c r="L61" s="85">
        <v>70</v>
      </c>
      <c r="M61" s="98" t="e">
        <f t="shared" si="17"/>
        <v>#DIV/0!</v>
      </c>
      <c r="N61" s="98">
        <f t="shared" si="8"/>
        <v>0.6207324643078833</v>
      </c>
    </row>
    <row r="62" spans="1:14" s="100" customFormat="1" ht="30.75" customHeight="1">
      <c r="A62" s="63" t="s">
        <v>126</v>
      </c>
      <c r="B62" s="65">
        <f>'Форма 5.6. КУ'!B62+'Форма 5.6. БУ'!B62</f>
        <v>0</v>
      </c>
      <c r="C62" s="65">
        <f>'Форма 5.6. КУ'!C62+'Форма 5.6. БУ'!C62</f>
        <v>0</v>
      </c>
      <c r="D62" s="65">
        <f>'Форма 5.6. КУ'!D62+'Форма 5.6. БУ'!D62</f>
        <v>0</v>
      </c>
      <c r="E62" s="65">
        <f>'Форма 5.6. КУ'!E62+'Форма 5.6. БУ'!E62</f>
        <v>0</v>
      </c>
      <c r="F62" s="96"/>
      <c r="G62" s="65">
        <f t="shared" si="18"/>
        <v>0</v>
      </c>
      <c r="H62" s="67">
        <f t="shared" si="16"/>
        <v>0</v>
      </c>
      <c r="I62" s="93" t="e">
        <f t="shared" si="12"/>
        <v>#DIV/0!</v>
      </c>
      <c r="J62" s="93" t="e">
        <f t="shared" si="10"/>
        <v>#DIV/0!</v>
      </c>
      <c r="K62" s="85"/>
      <c r="L62" s="85">
        <v>7200</v>
      </c>
      <c r="M62" s="98" t="e">
        <f t="shared" si="17"/>
        <v>#DIV/0!</v>
      </c>
      <c r="N62" s="98" t="e">
        <f t="shared" si="8"/>
        <v>#DIV/0!</v>
      </c>
    </row>
    <row r="63" spans="1:14" s="100" customFormat="1" ht="21.75" customHeight="1">
      <c r="A63" s="63" t="s">
        <v>127</v>
      </c>
      <c r="B63" s="65">
        <f>'Форма 5.6. КУ'!B63+'Форма 5.6. БУ'!B63</f>
        <v>3003.35415</v>
      </c>
      <c r="C63" s="65">
        <f>'Форма 5.6. КУ'!C63+'Форма 5.6. БУ'!C63</f>
        <v>845.67</v>
      </c>
      <c r="D63" s="65">
        <f>'Форма 5.6. КУ'!D63+'Форма 5.6. БУ'!D63</f>
        <v>0</v>
      </c>
      <c r="E63" s="65">
        <f>'Форма 5.6. КУ'!E63+'Форма 5.6. БУ'!E63</f>
        <v>1630.79</v>
      </c>
      <c r="F63" s="96"/>
      <c r="G63" s="65">
        <f t="shared" si="18"/>
        <v>1630.79</v>
      </c>
      <c r="H63" s="67">
        <f t="shared" si="16"/>
        <v>0</v>
      </c>
      <c r="I63" s="93">
        <f t="shared" si="12"/>
        <v>0</v>
      </c>
      <c r="J63" s="93">
        <f t="shared" si="10"/>
        <v>0.5429895771699118</v>
      </c>
      <c r="K63" s="85"/>
      <c r="L63" s="85">
        <v>16124.18117</v>
      </c>
      <c r="M63" s="98" t="e">
        <f t="shared" si="17"/>
        <v>#DIV/0!</v>
      </c>
      <c r="N63" s="98">
        <f t="shared" si="8"/>
        <v>9.887343661660912</v>
      </c>
    </row>
    <row r="64" spans="1:14" s="100" customFormat="1" ht="29.25" customHeight="1">
      <c r="A64" s="63" t="s">
        <v>129</v>
      </c>
      <c r="B64" s="65">
        <f>'Форма 5.6. КУ'!B64+'Форма 5.6. БУ'!B64</f>
        <v>738.9</v>
      </c>
      <c r="C64" s="65">
        <f>'Форма 5.6. КУ'!C64+'Форма 5.6. БУ'!C64</f>
        <v>0</v>
      </c>
      <c r="D64" s="65">
        <f>'Форма 5.6. КУ'!D64+'Форма 5.6. БУ'!D64</f>
        <v>0</v>
      </c>
      <c r="E64" s="65">
        <f>'Форма 5.6. КУ'!E64+'Форма 5.6. БУ'!E64</f>
        <v>0</v>
      </c>
      <c r="F64" s="96"/>
      <c r="G64" s="65">
        <f t="shared" si="18"/>
        <v>0</v>
      </c>
      <c r="H64" s="67">
        <f t="shared" si="16"/>
        <v>0</v>
      </c>
      <c r="I64" s="93">
        <f t="shared" si="12"/>
        <v>0</v>
      </c>
      <c r="J64" s="93">
        <f t="shared" si="10"/>
        <v>0</v>
      </c>
      <c r="K64" s="85"/>
      <c r="L64" s="85">
        <v>0</v>
      </c>
      <c r="M64" s="98" t="e">
        <f t="shared" si="17"/>
        <v>#DIV/0!</v>
      </c>
      <c r="N64" s="98" t="e">
        <f t="shared" si="8"/>
        <v>#DIV/0!</v>
      </c>
    </row>
    <row r="65" spans="1:14" s="100" customFormat="1" ht="31.5" customHeight="1">
      <c r="A65" s="63" t="s">
        <v>118</v>
      </c>
      <c r="B65" s="65">
        <f>'Форма 5.6. КУ'!B65+'Форма 5.6. БУ'!B65</f>
        <v>2202.19514</v>
      </c>
      <c r="C65" s="65">
        <f>'Форма 5.6. КУ'!C65+'Форма 5.6. БУ'!C65</f>
        <v>1164</v>
      </c>
      <c r="D65" s="65">
        <f>'Форма 5.6. КУ'!D65+'Форма 5.6. БУ'!D65</f>
        <v>0</v>
      </c>
      <c r="E65" s="65">
        <f>'Форма 5.6. КУ'!E65+'Форма 5.6. БУ'!E65</f>
        <v>1624.5529999999999</v>
      </c>
      <c r="F65" s="96"/>
      <c r="G65" s="65">
        <f t="shared" si="18"/>
        <v>1624.5529999999999</v>
      </c>
      <c r="H65" s="67">
        <f t="shared" si="16"/>
        <v>0</v>
      </c>
      <c r="I65" s="93">
        <f t="shared" si="12"/>
        <v>0</v>
      </c>
      <c r="J65" s="93">
        <f t="shared" si="10"/>
        <v>0.737697114343827</v>
      </c>
      <c r="K65" s="85"/>
      <c r="L65" s="85">
        <v>2048.12</v>
      </c>
      <c r="M65" s="98" t="e">
        <f t="shared" si="17"/>
        <v>#DIV/0!</v>
      </c>
      <c r="N65" s="98">
        <f t="shared" si="8"/>
        <v>1.2607283357329677</v>
      </c>
    </row>
    <row r="66" spans="1:14" s="100" customFormat="1" ht="50.25" customHeight="1">
      <c r="A66" s="63" t="s">
        <v>119</v>
      </c>
      <c r="B66" s="65">
        <f>'Форма 5.6. КУ'!B66+'Форма 5.6. БУ'!B66</f>
        <v>1055.27756</v>
      </c>
      <c r="C66" s="65">
        <f>'Форма 5.6. КУ'!C66+'Форма 5.6. БУ'!C66</f>
        <v>0</v>
      </c>
      <c r="D66" s="65">
        <f>'Форма 5.6. КУ'!D66+'Форма 5.6. БУ'!D66</f>
        <v>0</v>
      </c>
      <c r="E66" s="65">
        <f>'Форма 5.6. КУ'!E66+'Форма 5.6. БУ'!E66</f>
        <v>0</v>
      </c>
      <c r="F66" s="96"/>
      <c r="G66" s="65">
        <f t="shared" si="18"/>
        <v>0</v>
      </c>
      <c r="H66" s="67">
        <f t="shared" si="16"/>
        <v>0</v>
      </c>
      <c r="I66" s="93">
        <f t="shared" si="12"/>
        <v>0</v>
      </c>
      <c r="J66" s="93">
        <f t="shared" si="10"/>
        <v>0</v>
      </c>
      <c r="K66" s="85"/>
      <c r="L66" s="85">
        <v>728.84</v>
      </c>
      <c r="M66" s="98" t="e">
        <f t="shared" si="17"/>
        <v>#DIV/0!</v>
      </c>
      <c r="N66" s="98" t="e">
        <f t="shared" si="8"/>
        <v>#DIV/0!</v>
      </c>
    </row>
    <row r="67" spans="1:14" s="100" customFormat="1" ht="18" customHeight="1">
      <c r="A67" s="63" t="s">
        <v>121</v>
      </c>
      <c r="B67" s="65">
        <f>'Форма 5.6. КУ'!B67+'Форма 5.6. БУ'!B67</f>
        <v>5764.39292</v>
      </c>
      <c r="C67" s="65">
        <f>'Форма 5.6. КУ'!C67+'Форма 5.6. БУ'!C67</f>
        <v>7118.741720000001</v>
      </c>
      <c r="D67" s="65">
        <f>'Форма 5.6. КУ'!D67+'Форма 5.6. БУ'!D67</f>
        <v>0</v>
      </c>
      <c r="E67" s="65">
        <f>'Форма 5.6. КУ'!E67+'Форма 5.6. БУ'!E67</f>
        <v>8542.75161</v>
      </c>
      <c r="F67" s="65">
        <f>'Форма 5.6. КУ'!F67+'Форма 5.6. БУ'!F67</f>
        <v>0</v>
      </c>
      <c r="G67" s="65">
        <f>G68</f>
        <v>8103.987789999999</v>
      </c>
      <c r="H67" s="65">
        <f>'Форма 5.6. КУ'!H67+'Форма 5.6. БУ'!H67</f>
        <v>-8542.75161</v>
      </c>
      <c r="I67" s="65" t="e">
        <f>'Форма 5.6. КУ'!I67+'Форма 5.6. БУ'!I67</f>
        <v>#DIV/0!</v>
      </c>
      <c r="J67" s="65" t="e">
        <f>'Форма 5.6. КУ'!J67+'Форма 5.6. БУ'!J67</f>
        <v>#DIV/0!</v>
      </c>
      <c r="K67" s="65">
        <f>'Форма 5.6. КУ'!K67+'Форма 5.6. БУ'!K67</f>
        <v>0</v>
      </c>
      <c r="L67" s="65">
        <f>L68+L70</f>
        <v>25201.604</v>
      </c>
      <c r="M67" s="98" t="e">
        <f t="shared" si="17"/>
        <v>#DIV/0!</v>
      </c>
      <c r="N67" s="98">
        <f t="shared" si="8"/>
        <v>3.1097781306010583</v>
      </c>
    </row>
    <row r="68" spans="1:14" s="99" customFormat="1" ht="14.25" customHeight="1">
      <c r="A68" s="94" t="s">
        <v>203</v>
      </c>
      <c r="B68" s="65">
        <f>'Форма 5.6. КУ'!B68+'Форма 5.6. БУ'!B68</f>
        <v>5468.16244</v>
      </c>
      <c r="C68" s="65">
        <f>'Форма 5.6. КУ'!C68+'Форма 5.6. БУ'!C68</f>
        <v>6259.437370000001</v>
      </c>
      <c r="D68" s="65">
        <f>'Форма 5.6. КУ'!D68+'Форма 5.6. БУ'!D68</f>
        <v>0</v>
      </c>
      <c r="E68" s="65">
        <f>'Форма 5.6. КУ'!E68+'Форма 5.6. БУ'!E68</f>
        <v>8103.987789999999</v>
      </c>
      <c r="F68" s="96"/>
      <c r="G68" s="65">
        <f t="shared" si="18"/>
        <v>8103.987789999999</v>
      </c>
      <c r="H68" s="97">
        <f>G68-E68</f>
        <v>0</v>
      </c>
      <c r="I68" s="98">
        <f t="shared" si="12"/>
        <v>0</v>
      </c>
      <c r="J68" s="98">
        <f t="shared" si="10"/>
        <v>1.482031281791987</v>
      </c>
      <c r="K68" s="96"/>
      <c r="L68" s="96">
        <f>24827.188+74.416</f>
        <v>24901.604</v>
      </c>
      <c r="M68" s="68" t="e">
        <f t="shared" si="17"/>
        <v>#DIV/0!</v>
      </c>
      <c r="N68" s="68">
        <f t="shared" si="8"/>
        <v>3.0727593186563773</v>
      </c>
    </row>
    <row r="69" spans="1:14" s="99" customFormat="1" ht="14.25" customHeight="1">
      <c r="A69" s="94" t="s">
        <v>202</v>
      </c>
      <c r="B69" s="65">
        <f>'Форма 5.6. КУ'!B69+'Форма 5.6. БУ'!B69</f>
        <v>296.23048</v>
      </c>
      <c r="C69" s="65">
        <f>'Форма 5.6. КУ'!C69+'Форма 5.6. БУ'!C69</f>
        <v>0</v>
      </c>
      <c r="D69" s="65">
        <f>'Форма 5.6. КУ'!D69+'Форма 5.6. БУ'!D69</f>
        <v>0</v>
      </c>
      <c r="E69" s="65">
        <f>'Форма 5.6. КУ'!E69+'Форма 5.6. БУ'!E69</f>
        <v>0</v>
      </c>
      <c r="F69" s="96"/>
      <c r="G69" s="65">
        <f t="shared" si="18"/>
        <v>0</v>
      </c>
      <c r="H69" s="97"/>
      <c r="I69" s="98"/>
      <c r="J69" s="98"/>
      <c r="K69" s="96"/>
      <c r="L69" s="96"/>
      <c r="M69" s="68"/>
      <c r="N69" s="68"/>
    </row>
    <row r="70" spans="1:14" s="99" customFormat="1" ht="38.25" customHeight="1">
      <c r="A70" s="94" t="s">
        <v>209</v>
      </c>
      <c r="B70" s="65"/>
      <c r="C70" s="65">
        <f>'Форма 5.6. КУ'!C70+'Форма 5.6. БУ'!C70</f>
        <v>859.30435</v>
      </c>
      <c r="D70" s="65">
        <f>'Форма 5.6. КУ'!D70+'Форма 5.6. БУ'!D70</f>
        <v>0</v>
      </c>
      <c r="E70" s="65">
        <f>'Форма 5.6. КУ'!E70+'Форма 5.6. БУ'!E70</f>
        <v>438.76382</v>
      </c>
      <c r="F70" s="96"/>
      <c r="G70" s="69"/>
      <c r="H70" s="97"/>
      <c r="I70" s="98"/>
      <c r="J70" s="98"/>
      <c r="K70" s="96"/>
      <c r="L70" s="96">
        <v>300</v>
      </c>
      <c r="M70" s="68"/>
      <c r="N70" s="68"/>
    </row>
    <row r="71" spans="1:37" ht="24.75" customHeight="1">
      <c r="A71" s="103" t="s">
        <v>75</v>
      </c>
      <c r="B71" s="104">
        <f>SUM(B73:B90)</f>
        <v>4794.00945</v>
      </c>
      <c r="C71" s="104">
        <f>SUM(C73:C90)</f>
        <v>2273.698</v>
      </c>
      <c r="D71" s="104">
        <f>SUM(D73:D90)</f>
        <v>0</v>
      </c>
      <c r="E71" s="104">
        <f>SUM(E73:E90)</f>
        <v>5992.81467</v>
      </c>
      <c r="F71" s="106"/>
      <c r="G71" s="105">
        <f>E71</f>
        <v>5992.81467</v>
      </c>
      <c r="H71" s="107">
        <f>G71-E71</f>
        <v>0</v>
      </c>
      <c r="I71" s="108">
        <f t="shared" si="12"/>
        <v>0</v>
      </c>
      <c r="J71" s="108">
        <f t="shared" si="10"/>
        <v>1.2500631741558208</v>
      </c>
      <c r="K71" s="106"/>
      <c r="L71" s="104">
        <f>SUM(L73:L92)</f>
        <v>3976.46</v>
      </c>
      <c r="M71" s="109" t="e">
        <f>K71/F71</f>
        <v>#DIV/0!</v>
      </c>
      <c r="N71" s="109">
        <f t="shared" si="8"/>
        <v>0.6635379565308667</v>
      </c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</row>
    <row r="72" spans="1:37" ht="42.75" customHeight="1">
      <c r="A72" s="111" t="s">
        <v>76</v>
      </c>
      <c r="B72" s="64"/>
      <c r="C72" s="65"/>
      <c r="D72" s="65"/>
      <c r="E72" s="65"/>
      <c r="F72" s="85"/>
      <c r="G72" s="65"/>
      <c r="H72" s="67">
        <f>G72-E72</f>
        <v>0</v>
      </c>
      <c r="I72" s="93" t="e">
        <f t="shared" si="12"/>
        <v>#DIV/0!</v>
      </c>
      <c r="J72" s="93" t="e">
        <f t="shared" si="10"/>
        <v>#DIV/0!</v>
      </c>
      <c r="K72" s="85"/>
      <c r="L72" s="85"/>
      <c r="M72" s="68" t="e">
        <f>K72/F72</f>
        <v>#DIV/0!</v>
      </c>
      <c r="N72" s="68" t="e">
        <f t="shared" si="8"/>
        <v>#DIV/0!</v>
      </c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</row>
    <row r="73" spans="1:37" ht="106.5" customHeight="1">
      <c r="A73" s="63" t="s">
        <v>182</v>
      </c>
      <c r="B73" s="65">
        <f>'Форма 5.6. КУ'!B73+'Форма 5.6. БУ'!B73</f>
        <v>63.48</v>
      </c>
      <c r="C73" s="65">
        <f>'Форма 5.6. КУ'!C73+'Форма 5.6. БУ'!C73</f>
        <v>63.48</v>
      </c>
      <c r="D73" s="65">
        <f>'Форма 5.6. КУ'!D73+'Форма 5.6. БУ'!D73</f>
        <v>0</v>
      </c>
      <c r="E73" s="65">
        <f>'Форма 5.6. КУ'!E73+'Форма 5.6. БУ'!E73</f>
        <v>63.48</v>
      </c>
      <c r="F73" s="85"/>
      <c r="G73" s="65">
        <f>E73</f>
        <v>63.48</v>
      </c>
      <c r="H73" s="67">
        <f aca="true" t="shared" si="19" ref="H73:H78">G73-E73</f>
        <v>0</v>
      </c>
      <c r="I73" s="93">
        <f aca="true" t="shared" si="20" ref="I73:I81">F73/B73</f>
        <v>0</v>
      </c>
      <c r="J73" s="93">
        <f aca="true" t="shared" si="21" ref="J73:J81">G73/B73</f>
        <v>1</v>
      </c>
      <c r="K73" s="85"/>
      <c r="L73" s="85">
        <v>63.48</v>
      </c>
      <c r="M73" s="68"/>
      <c r="N73" s="68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</row>
    <row r="74" spans="1:37" ht="61.5" customHeight="1">
      <c r="A74" s="63" t="s">
        <v>183</v>
      </c>
      <c r="B74" s="65">
        <f>'Форма 5.6. КУ'!B74+'Форма 5.6. БУ'!B74</f>
        <v>206.34748</v>
      </c>
      <c r="C74" s="65">
        <f>'Форма 5.6. КУ'!C74+'Форма 5.6. БУ'!C74</f>
        <v>20</v>
      </c>
      <c r="D74" s="65">
        <f>'Форма 5.6. КУ'!D74+'Форма 5.6. БУ'!D74</f>
        <v>0</v>
      </c>
      <c r="E74" s="65">
        <f>'Форма 5.6. КУ'!E74+'Форма 5.6. БУ'!E74</f>
        <v>208.3803</v>
      </c>
      <c r="F74" s="85"/>
      <c r="G74" s="65">
        <f aca="true" t="shared" si="22" ref="G74:G91">E74</f>
        <v>208.3803</v>
      </c>
      <c r="H74" s="67"/>
      <c r="I74" s="93"/>
      <c r="J74" s="93"/>
      <c r="K74" s="85"/>
      <c r="L74" s="85">
        <v>20</v>
      </c>
      <c r="M74" s="68"/>
      <c r="N74" s="68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</row>
    <row r="75" spans="1:37" ht="78.75" customHeight="1">
      <c r="A75" s="63" t="s">
        <v>184</v>
      </c>
      <c r="B75" s="65">
        <f>'Форма 5.6. КУ'!B75+'Форма 5.6. БУ'!B75</f>
        <v>138.29731</v>
      </c>
      <c r="C75" s="65">
        <f>'Форма 5.6. КУ'!C75+'Форма 5.6. БУ'!C75</f>
        <v>170.768</v>
      </c>
      <c r="D75" s="65">
        <f>'Форма 5.6. КУ'!D75+'Форма 5.6. БУ'!D75</f>
        <v>0</v>
      </c>
      <c r="E75" s="65">
        <f>'Форма 5.6. КУ'!E75+'Форма 5.6. БУ'!E75</f>
        <v>170.768</v>
      </c>
      <c r="F75" s="85"/>
      <c r="G75" s="65">
        <f t="shared" si="22"/>
        <v>170.768</v>
      </c>
      <c r="H75" s="67">
        <f t="shared" si="19"/>
        <v>0</v>
      </c>
      <c r="I75" s="93">
        <f t="shared" si="20"/>
        <v>0</v>
      </c>
      <c r="J75" s="93">
        <f t="shared" si="21"/>
        <v>1.2347890208421262</v>
      </c>
      <c r="K75" s="85"/>
      <c r="L75" s="85">
        <v>824.95</v>
      </c>
      <c r="M75" s="68"/>
      <c r="N75" s="68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</row>
    <row r="76" spans="1:37" ht="110.25" customHeight="1">
      <c r="A76" s="63" t="s">
        <v>185</v>
      </c>
      <c r="B76" s="65">
        <f>'Форма 5.6. КУ'!B76+'Форма 5.6. БУ'!B76</f>
        <v>13.2</v>
      </c>
      <c r="C76" s="65">
        <f>'Форма 5.6. КУ'!C76+'Форма 5.6. БУ'!C76</f>
        <v>25.02</v>
      </c>
      <c r="D76" s="65">
        <f>'Форма 5.6. КУ'!D76+'Форма 5.6. БУ'!D76</f>
        <v>0</v>
      </c>
      <c r="E76" s="65">
        <f>'Форма 5.6. КУ'!E76+'Форма 5.6. БУ'!E76</f>
        <v>25.02</v>
      </c>
      <c r="F76" s="85"/>
      <c r="G76" s="65">
        <f t="shared" si="22"/>
        <v>25.02</v>
      </c>
      <c r="H76" s="67">
        <f t="shared" si="19"/>
        <v>0</v>
      </c>
      <c r="I76" s="93">
        <f t="shared" si="20"/>
        <v>0</v>
      </c>
      <c r="J76" s="93">
        <f t="shared" si="21"/>
        <v>1.8954545454545455</v>
      </c>
      <c r="K76" s="85"/>
      <c r="L76" s="85">
        <v>53.9</v>
      </c>
      <c r="M76" s="68"/>
      <c r="N76" s="68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</row>
    <row r="77" spans="1:37" ht="126" customHeight="1">
      <c r="A77" s="63" t="s">
        <v>194</v>
      </c>
      <c r="B77" s="65">
        <f>'Форма 5.6. КУ'!B77+'Форма 5.6. БУ'!B77</f>
        <v>0</v>
      </c>
      <c r="C77" s="65">
        <f>'Форма 5.6. КУ'!C77+'Форма 5.6. БУ'!C77</f>
        <v>0</v>
      </c>
      <c r="D77" s="65">
        <f>'Форма 5.6. КУ'!D77+'Форма 5.6. БУ'!D77</f>
        <v>0</v>
      </c>
      <c r="E77" s="65">
        <f>'Форма 5.6. КУ'!E77+'Форма 5.6. БУ'!E77</f>
        <v>1445.83316</v>
      </c>
      <c r="F77" s="85"/>
      <c r="G77" s="65">
        <f t="shared" si="22"/>
        <v>1445.83316</v>
      </c>
      <c r="H77" s="67">
        <f t="shared" si="19"/>
        <v>0</v>
      </c>
      <c r="I77" s="93"/>
      <c r="J77" s="93"/>
      <c r="K77" s="85"/>
      <c r="L77" s="85"/>
      <c r="M77" s="68"/>
      <c r="N77" s="68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</row>
    <row r="78" spans="1:37" ht="81" customHeight="1">
      <c r="A78" s="63" t="s">
        <v>186</v>
      </c>
      <c r="B78" s="65">
        <f>'Форма 5.6. КУ'!B78+'Форма 5.6. БУ'!B78</f>
        <v>30</v>
      </c>
      <c r="C78" s="65">
        <f>'Форма 5.6. КУ'!C78+'Форма 5.6. БУ'!C78</f>
        <v>0</v>
      </c>
      <c r="D78" s="65">
        <f>'Форма 5.6. КУ'!D78+'Форма 5.6. БУ'!D78</f>
        <v>0</v>
      </c>
      <c r="E78" s="65">
        <f>'Форма 5.6. КУ'!E78+'Форма 5.6. БУ'!E78</f>
        <v>210</v>
      </c>
      <c r="F78" s="85"/>
      <c r="G78" s="65">
        <f t="shared" si="22"/>
        <v>210</v>
      </c>
      <c r="H78" s="67">
        <f t="shared" si="19"/>
        <v>0</v>
      </c>
      <c r="I78" s="93">
        <f t="shared" si="20"/>
        <v>0</v>
      </c>
      <c r="J78" s="93">
        <f t="shared" si="21"/>
        <v>7</v>
      </c>
      <c r="K78" s="85"/>
      <c r="L78" s="85">
        <v>30</v>
      </c>
      <c r="M78" s="68"/>
      <c r="N78" s="68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</row>
    <row r="79" spans="1:37" ht="48" customHeight="1">
      <c r="A79" s="63" t="s">
        <v>187</v>
      </c>
      <c r="B79" s="65">
        <f>'Форма 5.6. КУ'!B79+'Форма 5.6. БУ'!B79</f>
        <v>50.5056</v>
      </c>
      <c r="C79" s="65">
        <f>'Форма 5.6. КУ'!C79+'Форма 5.6. БУ'!C79</f>
        <v>0</v>
      </c>
      <c r="D79" s="65">
        <f>'Форма 5.6. КУ'!D79+'Форма 5.6. БУ'!D79</f>
        <v>0</v>
      </c>
      <c r="E79" s="65">
        <f>'Форма 5.6. КУ'!E79+'Форма 5.6. БУ'!E79</f>
        <v>0</v>
      </c>
      <c r="F79" s="85"/>
      <c r="G79" s="65">
        <f t="shared" si="22"/>
        <v>0</v>
      </c>
      <c r="H79" s="67"/>
      <c r="I79" s="93">
        <f t="shared" si="20"/>
        <v>0</v>
      </c>
      <c r="J79" s="93">
        <f t="shared" si="21"/>
        <v>0</v>
      </c>
      <c r="K79" s="85"/>
      <c r="L79" s="85"/>
      <c r="M79" s="68"/>
      <c r="N79" s="68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</row>
    <row r="80" spans="1:37" ht="32.25" customHeight="1">
      <c r="A80" s="63" t="s">
        <v>195</v>
      </c>
      <c r="B80" s="65">
        <f>'Форма 5.6. КУ'!B80+'Форма 5.6. БУ'!B80</f>
        <v>0</v>
      </c>
      <c r="C80" s="65">
        <f>'Форма 5.6. КУ'!C80+'Форма 5.6. БУ'!C80</f>
        <v>0</v>
      </c>
      <c r="D80" s="65">
        <f>'Форма 5.6. КУ'!D80+'Форма 5.6. БУ'!D80</f>
        <v>0</v>
      </c>
      <c r="E80" s="65">
        <f>'Форма 5.6. КУ'!E80+'Форма 5.6. БУ'!E80</f>
        <v>5</v>
      </c>
      <c r="F80" s="85"/>
      <c r="G80" s="65">
        <f t="shared" si="22"/>
        <v>5</v>
      </c>
      <c r="H80" s="67"/>
      <c r="I80" s="93"/>
      <c r="J80" s="93"/>
      <c r="K80" s="85"/>
      <c r="L80" s="85"/>
      <c r="M80" s="68"/>
      <c r="N80" s="68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</row>
    <row r="81" spans="1:37" ht="82.5" customHeight="1">
      <c r="A81" s="63" t="s">
        <v>188</v>
      </c>
      <c r="B81" s="65">
        <f>'Форма 5.6. КУ'!B81+'Форма 5.6. БУ'!B81</f>
        <v>0.088</v>
      </c>
      <c r="C81" s="65">
        <f>'Форма 5.6. КУ'!C81+'Форма 5.6. БУ'!C81</f>
        <v>0</v>
      </c>
      <c r="D81" s="65">
        <f>'Форма 5.6. КУ'!D81+'Форма 5.6. БУ'!D81</f>
        <v>0</v>
      </c>
      <c r="E81" s="65">
        <f>'Форма 5.6. КУ'!E81+'Форма 5.6. БУ'!E81</f>
        <v>0</v>
      </c>
      <c r="F81" s="85"/>
      <c r="G81" s="65">
        <f t="shared" si="22"/>
        <v>0</v>
      </c>
      <c r="H81" s="67"/>
      <c r="I81" s="93">
        <f t="shared" si="20"/>
        <v>0</v>
      </c>
      <c r="J81" s="93">
        <f t="shared" si="21"/>
        <v>0</v>
      </c>
      <c r="K81" s="85"/>
      <c r="L81" s="85"/>
      <c r="M81" s="68"/>
      <c r="N81" s="68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</row>
    <row r="82" spans="1:14" s="99" customFormat="1" ht="144.75" customHeight="1">
      <c r="A82" s="63" t="s">
        <v>189</v>
      </c>
      <c r="B82" s="65">
        <f>'Форма 5.6. КУ'!B82+'Форма 5.6. БУ'!B82</f>
        <v>250</v>
      </c>
      <c r="C82" s="65">
        <f>'Форма 5.6. КУ'!C82+'Форма 5.6. БУ'!C82</f>
        <v>250</v>
      </c>
      <c r="D82" s="65">
        <f>'Форма 5.6. КУ'!D82+'Форма 5.6. БУ'!D82</f>
        <v>0</v>
      </c>
      <c r="E82" s="65">
        <f>'Форма 5.6. КУ'!E82+'Форма 5.6. БУ'!E82</f>
        <v>250</v>
      </c>
      <c r="F82" s="96"/>
      <c r="G82" s="65">
        <f t="shared" si="22"/>
        <v>250</v>
      </c>
      <c r="H82" s="97">
        <f>G82-E82</f>
        <v>0</v>
      </c>
      <c r="I82" s="98">
        <f t="shared" si="12"/>
        <v>0</v>
      </c>
      <c r="J82" s="98">
        <f t="shared" si="10"/>
        <v>1</v>
      </c>
      <c r="K82" s="96"/>
      <c r="L82" s="96">
        <v>250</v>
      </c>
      <c r="M82" s="68" t="e">
        <f>K82/F82</f>
        <v>#DIV/0!</v>
      </c>
      <c r="N82" s="68">
        <f t="shared" si="8"/>
        <v>1</v>
      </c>
    </row>
    <row r="83" spans="1:14" s="99" customFormat="1" ht="93" customHeight="1">
      <c r="A83" s="63" t="s">
        <v>190</v>
      </c>
      <c r="B83" s="65">
        <f>'Форма 5.6. КУ'!B83+'Форма 5.6. БУ'!B83</f>
        <v>120.94612</v>
      </c>
      <c r="C83" s="65">
        <f>'Форма 5.6. КУ'!C83+'Форма 5.6. БУ'!C83</f>
        <v>411.3</v>
      </c>
      <c r="D83" s="65">
        <f>'Форма 5.6. КУ'!D83+'Форма 5.6. БУ'!D83</f>
        <v>0</v>
      </c>
      <c r="E83" s="65">
        <f>'Форма 5.6. КУ'!E83+'Форма 5.6. БУ'!E83</f>
        <v>177.5</v>
      </c>
      <c r="F83" s="96"/>
      <c r="G83" s="65">
        <f t="shared" si="22"/>
        <v>177.5</v>
      </c>
      <c r="H83" s="97"/>
      <c r="I83" s="98">
        <f t="shared" si="12"/>
        <v>0</v>
      </c>
      <c r="J83" s="98">
        <f t="shared" si="10"/>
        <v>1.4675956533372052</v>
      </c>
      <c r="K83" s="96"/>
      <c r="L83" s="96">
        <v>500</v>
      </c>
      <c r="M83" s="68"/>
      <c r="N83" s="68"/>
    </row>
    <row r="84" spans="1:14" s="99" customFormat="1" ht="64.5" customHeight="1">
      <c r="A84" s="63" t="s">
        <v>196</v>
      </c>
      <c r="B84" s="65">
        <f>'Форма 5.6. КУ'!B84+'Форма 5.6. БУ'!B84</f>
        <v>0</v>
      </c>
      <c r="C84" s="65">
        <f>'Форма 5.6. КУ'!C84+'Форма 5.6. БУ'!C84</f>
        <v>0</v>
      </c>
      <c r="D84" s="65">
        <f>'Форма 5.6. КУ'!D84+'Форма 5.6. БУ'!D84</f>
        <v>0</v>
      </c>
      <c r="E84" s="65">
        <f>'Форма 5.6. КУ'!E84+'Форма 5.6. БУ'!E84</f>
        <v>630</v>
      </c>
      <c r="F84" s="96"/>
      <c r="G84" s="65">
        <f t="shared" si="22"/>
        <v>630</v>
      </c>
      <c r="H84" s="97"/>
      <c r="I84" s="98"/>
      <c r="J84" s="98"/>
      <c r="K84" s="96"/>
      <c r="L84" s="96"/>
      <c r="M84" s="68"/>
      <c r="N84" s="68"/>
    </row>
    <row r="85" spans="1:14" s="99" customFormat="1" ht="64.5" customHeight="1">
      <c r="A85" s="63" t="s">
        <v>197</v>
      </c>
      <c r="B85" s="65">
        <f>'Форма 5.6. КУ'!B85+'Форма 5.6. БУ'!B85</f>
        <v>0</v>
      </c>
      <c r="C85" s="65">
        <f>'Форма 5.6. КУ'!C85+'Форма 5.6. БУ'!C85</f>
        <v>0</v>
      </c>
      <c r="D85" s="65">
        <f>'Форма 5.6. КУ'!D85+'Форма 5.6. БУ'!D85</f>
        <v>0</v>
      </c>
      <c r="E85" s="65">
        <f>'Форма 5.6. КУ'!E85+'Форма 5.6. БУ'!E85</f>
        <v>0.1</v>
      </c>
      <c r="F85" s="96"/>
      <c r="G85" s="65">
        <f t="shared" si="22"/>
        <v>0.1</v>
      </c>
      <c r="H85" s="97"/>
      <c r="I85" s="98"/>
      <c r="J85" s="98"/>
      <c r="K85" s="96"/>
      <c r="L85" s="96"/>
      <c r="M85" s="68"/>
      <c r="N85" s="68"/>
    </row>
    <row r="86" spans="1:14" s="99" customFormat="1" ht="50.25" customHeight="1">
      <c r="A86" s="63" t="s">
        <v>200</v>
      </c>
      <c r="B86" s="65">
        <f>'Форма 5.6. КУ'!B86+'Форма 5.6. БУ'!B86</f>
        <v>0</v>
      </c>
      <c r="C86" s="65">
        <f>'Форма 5.6. КУ'!C86+'Форма 5.6. БУ'!C86</f>
        <v>0</v>
      </c>
      <c r="D86" s="65">
        <f>'Форма 5.6. КУ'!D86+'Форма 5.6. БУ'!D86</f>
        <v>0</v>
      </c>
      <c r="E86" s="177">
        <f>'Форма 5.6. КУ'!E86+'Форма 5.6. БУ'!E86</f>
        <v>193</v>
      </c>
      <c r="F86" s="96"/>
      <c r="G86" s="65">
        <f t="shared" si="22"/>
        <v>193</v>
      </c>
      <c r="H86" s="97"/>
      <c r="I86" s="98"/>
      <c r="J86" s="98"/>
      <c r="K86" s="96"/>
      <c r="L86" s="96"/>
      <c r="M86" s="68"/>
      <c r="N86" s="68"/>
    </row>
    <row r="87" spans="1:14" s="99" customFormat="1" ht="46.5" customHeight="1">
      <c r="A87" s="63" t="s">
        <v>191</v>
      </c>
      <c r="B87" s="65">
        <f>'Форма 5.6. КУ'!B87+'Форма 5.6. БУ'!B87</f>
        <v>933.12654</v>
      </c>
      <c r="C87" s="65">
        <f>'Форма 5.6. КУ'!C87+'Форма 5.6. БУ'!C87</f>
        <v>933.13</v>
      </c>
      <c r="D87" s="65">
        <f>'Форма 5.6. КУ'!D87+'Форма 5.6. БУ'!D87</f>
        <v>0</v>
      </c>
      <c r="E87" s="65">
        <f>'Форма 5.6. КУ'!E87+'Форма 5.6. БУ'!E87</f>
        <v>1006.69199</v>
      </c>
      <c r="F87" s="96"/>
      <c r="G87" s="65">
        <f t="shared" si="22"/>
        <v>1006.69199</v>
      </c>
      <c r="H87" s="97"/>
      <c r="I87" s="98">
        <f t="shared" si="12"/>
        <v>0</v>
      </c>
      <c r="J87" s="98">
        <f t="shared" si="10"/>
        <v>1.0788375925948908</v>
      </c>
      <c r="K87" s="96"/>
      <c r="L87" s="96">
        <v>933.13</v>
      </c>
      <c r="M87" s="68"/>
      <c r="N87" s="68"/>
    </row>
    <row r="88" spans="1:14" s="99" customFormat="1" ht="59.25" customHeight="1">
      <c r="A88" s="63" t="s">
        <v>199</v>
      </c>
      <c r="B88" s="65">
        <f>'Форма 5.6. КУ'!B88+'Форма 5.6. БУ'!B88</f>
        <v>2290.27559</v>
      </c>
      <c r="C88" s="65">
        <f>'Форма 5.6. КУ'!C88+'Форма 5.6. БУ'!C88</f>
        <v>0</v>
      </c>
      <c r="D88" s="65">
        <f>'Форма 5.6. КУ'!D88+'Форма 5.6. БУ'!D88</f>
        <v>0</v>
      </c>
      <c r="E88" s="65">
        <f>'Форма 5.6. КУ'!E88+'Форма 5.6. БУ'!E88</f>
        <v>732.05</v>
      </c>
      <c r="F88" s="96"/>
      <c r="G88" s="65">
        <f t="shared" si="22"/>
        <v>732.05</v>
      </c>
      <c r="H88" s="97"/>
      <c r="I88" s="98">
        <f t="shared" si="12"/>
        <v>0</v>
      </c>
      <c r="J88" s="98">
        <f t="shared" si="10"/>
        <v>0.31963402273348246</v>
      </c>
      <c r="K88" s="96"/>
      <c r="L88" s="96"/>
      <c r="M88" s="68"/>
      <c r="N88" s="68"/>
    </row>
    <row r="89" spans="1:14" s="99" customFormat="1" ht="108.75" customHeight="1">
      <c r="A89" s="63" t="s">
        <v>192</v>
      </c>
      <c r="B89" s="65">
        <f>'Форма 5.6. КУ'!B89+'Форма 5.6. БУ'!B89</f>
        <v>17.29688</v>
      </c>
      <c r="C89" s="65">
        <f>'Форма 5.6. КУ'!C89+'Форма 5.6. БУ'!C89</f>
        <v>0</v>
      </c>
      <c r="D89" s="65">
        <f>'Форма 5.6. КУ'!D89+'Форма 5.6. БУ'!D89</f>
        <v>0</v>
      </c>
      <c r="E89" s="65">
        <f>'Форма 5.6. КУ'!E89+'Форма 5.6. БУ'!E89</f>
        <v>0</v>
      </c>
      <c r="F89" s="96"/>
      <c r="G89" s="65">
        <f t="shared" si="22"/>
        <v>0</v>
      </c>
      <c r="H89" s="97"/>
      <c r="I89" s="98">
        <f t="shared" si="12"/>
        <v>0</v>
      </c>
      <c r="J89" s="98">
        <f t="shared" si="10"/>
        <v>0</v>
      </c>
      <c r="K89" s="96"/>
      <c r="L89" s="96"/>
      <c r="M89" s="68"/>
      <c r="N89" s="68"/>
    </row>
    <row r="90" spans="1:14" s="99" customFormat="1" ht="114" customHeight="1">
      <c r="A90" s="175" t="s">
        <v>193</v>
      </c>
      <c r="B90" s="65">
        <f>'Форма 5.6. КУ'!B90+'Форма 5.6. БУ'!B90</f>
        <v>680.44593</v>
      </c>
      <c r="C90" s="65">
        <f>'Форма 5.6. КУ'!C90+'Форма 5.6. БУ'!C90</f>
        <v>400</v>
      </c>
      <c r="D90" s="65">
        <f>'Форма 5.6. КУ'!D90+'Форма 5.6. БУ'!D90</f>
        <v>0</v>
      </c>
      <c r="E90" s="65">
        <f>'Форма 5.6. КУ'!E90+'Форма 5.6. БУ'!E90</f>
        <v>874.99122</v>
      </c>
      <c r="F90" s="96"/>
      <c r="G90" s="65">
        <f t="shared" si="22"/>
        <v>874.99122</v>
      </c>
      <c r="H90" s="97"/>
      <c r="I90" s="98">
        <f t="shared" si="12"/>
        <v>0</v>
      </c>
      <c r="J90" s="98">
        <f t="shared" si="10"/>
        <v>1.2859085217836486</v>
      </c>
      <c r="K90" s="96"/>
      <c r="L90" s="96">
        <v>300</v>
      </c>
      <c r="M90" s="68"/>
      <c r="N90" s="68"/>
    </row>
    <row r="91" spans="1:14" s="99" customFormat="1" ht="91.5" customHeight="1">
      <c r="A91" s="63" t="s">
        <v>198</v>
      </c>
      <c r="B91" s="65">
        <f>'Форма 5.6. КУ'!B91+'Форма 5.6. БУ'!B91</f>
        <v>0</v>
      </c>
      <c r="C91" s="65">
        <f>'Форма 5.6. КУ'!C91+'Форма 5.6. БУ'!C91</f>
        <v>0</v>
      </c>
      <c r="D91" s="65">
        <f>'Форма 5.6. КУ'!D91+'Форма 5.6. БУ'!D91</f>
        <v>0</v>
      </c>
      <c r="E91" s="65">
        <f>'Форма 5.6. КУ'!E91+'Форма 5.6. БУ'!E91</f>
        <v>0</v>
      </c>
      <c r="F91" s="96"/>
      <c r="G91" s="65">
        <f t="shared" si="22"/>
        <v>0</v>
      </c>
      <c r="H91" s="97"/>
      <c r="I91" s="98"/>
      <c r="J91" s="98"/>
      <c r="K91" s="96"/>
      <c r="L91" s="96">
        <v>235</v>
      </c>
      <c r="M91" s="68"/>
      <c r="N91" s="68"/>
    </row>
    <row r="92" spans="1:14" s="99" customFormat="1" ht="51.75" customHeight="1">
      <c r="A92" s="63" t="s">
        <v>216</v>
      </c>
      <c r="B92" s="65"/>
      <c r="C92" s="65"/>
      <c r="D92" s="65"/>
      <c r="E92" s="65"/>
      <c r="F92" s="96"/>
      <c r="G92" s="65"/>
      <c r="H92" s="97"/>
      <c r="I92" s="98"/>
      <c r="J92" s="98"/>
      <c r="K92" s="96"/>
      <c r="L92" s="96">
        <v>766</v>
      </c>
      <c r="M92" s="68"/>
      <c r="N92" s="68"/>
    </row>
    <row r="93" spans="1:37" ht="18.75" customHeight="1">
      <c r="A93" s="103" t="s">
        <v>132</v>
      </c>
      <c r="B93" s="104">
        <f>6384.78631-933.12654</f>
        <v>5451.65977</v>
      </c>
      <c r="C93" s="104">
        <f>'Форма 5.6. КУ'!C92+'Форма 5.6. БУ'!C92</f>
        <v>5317.43429</v>
      </c>
      <c r="D93" s="105"/>
      <c r="E93" s="104">
        <f>'Форма 5.6. КУ'!E92+'Форма 5.6. БУ'!E92</f>
        <v>4382.82429</v>
      </c>
      <c r="F93" s="106"/>
      <c r="G93" s="105">
        <f>E93</f>
        <v>4382.82429</v>
      </c>
      <c r="H93" s="107">
        <f>G93-E93</f>
        <v>0</v>
      </c>
      <c r="I93" s="108">
        <f t="shared" si="12"/>
        <v>0</v>
      </c>
      <c r="J93" s="108">
        <f t="shared" si="10"/>
        <v>0.803943106302835</v>
      </c>
      <c r="K93" s="106"/>
      <c r="L93" s="106">
        <v>4483.77</v>
      </c>
      <c r="M93" s="109" t="e">
        <f>K93/F93</f>
        <v>#DIV/0!</v>
      </c>
      <c r="N93" s="109">
        <f t="shared" si="8"/>
        <v>1.0230321142990655</v>
      </c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</row>
    <row r="94" spans="1:37" ht="22.5" customHeight="1">
      <c r="A94" s="51" t="s">
        <v>15</v>
      </c>
      <c r="B94" s="52">
        <f>B7-B36</f>
        <v>4869.852890000024</v>
      </c>
      <c r="C94" s="52">
        <f>C7-C36</f>
        <v>0.02016000001458451</v>
      </c>
      <c r="D94" s="52"/>
      <c r="E94" s="52">
        <f>E7-E36</f>
        <v>-3437.309040000022</v>
      </c>
      <c r="F94" s="52">
        <f>F7-F36</f>
        <v>0</v>
      </c>
      <c r="G94" s="52">
        <f>G7-G36</f>
        <v>-3742.4012199999997</v>
      </c>
      <c r="H94" s="52"/>
      <c r="I94" s="52"/>
      <c r="J94" s="52"/>
      <c r="K94" s="52">
        <f>K7-K36</f>
        <v>0</v>
      </c>
      <c r="L94" s="52">
        <f>L7-L36</f>
        <v>-77757.08691999996</v>
      </c>
      <c r="M94" s="112"/>
      <c r="N94" s="112"/>
      <c r="O94" s="113"/>
      <c r="P94" s="113"/>
      <c r="Q94" s="113"/>
      <c r="R94" s="113"/>
      <c r="S94" s="113"/>
      <c r="T94" s="113"/>
      <c r="U94" s="113"/>
      <c r="V94" s="113"/>
      <c r="W94" s="113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</row>
    <row r="95" spans="1:14" s="115" customFormat="1" ht="17.25" customHeight="1">
      <c r="A95" s="93" t="s">
        <v>29</v>
      </c>
      <c r="B95" s="85">
        <f>(B94-B97)/(B8-B25)</f>
        <v>0.4013977490771504</v>
      </c>
      <c r="C95" s="85">
        <f>(C94-C97)/(C8-C25)</f>
        <v>8.325014398727481E-07</v>
      </c>
      <c r="D95" s="66" t="s">
        <v>3</v>
      </c>
      <c r="E95" s="85">
        <f>(E94-E97)/(E8-E25)</f>
        <v>-0.28388459796144905</v>
      </c>
      <c r="F95" s="85" t="e">
        <f>(F94-F97)/(F8-F25)</f>
        <v>#DIV/0!</v>
      </c>
      <c r="G95" s="85">
        <f>(G94-G97)/(G8-G25)</f>
        <v>-0.28661219065871857</v>
      </c>
      <c r="H95" s="85"/>
      <c r="I95" s="85"/>
      <c r="J95" s="85"/>
      <c r="K95" s="85" t="e">
        <f>(K94-K97)/(K8-K25)</f>
        <v>#DIV/0!</v>
      </c>
      <c r="L95" s="85">
        <f>(L94-L97)/(L8-L25)</f>
        <v>-3.622198999248988</v>
      </c>
      <c r="M95" s="114"/>
      <c r="N95" s="114"/>
    </row>
    <row r="96" spans="1:14" ht="24" customHeight="1">
      <c r="A96" s="51" t="s">
        <v>30</v>
      </c>
      <c r="B96" s="52">
        <f>-B94</f>
        <v>-4869.852890000024</v>
      </c>
      <c r="C96" s="52">
        <f>-C94</f>
        <v>-0.02016000001458451</v>
      </c>
      <c r="D96" s="52"/>
      <c r="E96" s="52">
        <f>SUM(E97:E102)-E99</f>
        <v>3437.3</v>
      </c>
      <c r="F96" s="52">
        <f>SUM(F97:F102)-F99</f>
        <v>0</v>
      </c>
      <c r="G96" s="52">
        <f>SUM(G97:G102)-G99</f>
        <v>3080.5</v>
      </c>
      <c r="H96" s="52"/>
      <c r="I96" s="52"/>
      <c r="J96" s="52"/>
      <c r="K96" s="52">
        <f>SUM(K97:K102)-K99</f>
        <v>0</v>
      </c>
      <c r="L96" s="52">
        <f>SUM(L97:L102)-L99</f>
        <v>9324</v>
      </c>
      <c r="M96" s="112"/>
      <c r="N96" s="116"/>
    </row>
    <row r="97" spans="1:14" ht="17.25" customHeight="1">
      <c r="A97" s="63" t="s">
        <v>31</v>
      </c>
      <c r="B97" s="64">
        <f>B96</f>
        <v>-4869.852890000024</v>
      </c>
      <c r="C97" s="65">
        <v>0</v>
      </c>
      <c r="D97" s="65"/>
      <c r="E97" s="64">
        <v>3437.3</v>
      </c>
      <c r="F97" s="65"/>
      <c r="G97" s="65">
        <v>3080.5</v>
      </c>
      <c r="H97" s="65"/>
      <c r="I97" s="65"/>
      <c r="J97" s="65"/>
      <c r="K97" s="65"/>
      <c r="L97" s="65">
        <v>9324</v>
      </c>
      <c r="M97" s="117"/>
      <c r="N97" s="117"/>
    </row>
    <row r="98" spans="1:14" ht="17.25" customHeight="1">
      <c r="A98" s="63" t="s">
        <v>177</v>
      </c>
      <c r="B98" s="64"/>
      <c r="C98" s="65"/>
      <c r="D98" s="65"/>
      <c r="E98" s="64"/>
      <c r="F98" s="65"/>
      <c r="G98" s="65"/>
      <c r="H98" s="65"/>
      <c r="I98" s="65"/>
      <c r="J98" s="65"/>
      <c r="K98" s="65"/>
      <c r="L98" s="65"/>
      <c r="M98" s="117"/>
      <c r="N98" s="117"/>
    </row>
    <row r="99" spans="1:14" ht="36" customHeight="1">
      <c r="A99" s="63" t="s">
        <v>32</v>
      </c>
      <c r="B99" s="64">
        <f>B97</f>
        <v>-4869.852890000024</v>
      </c>
      <c r="C99" s="65"/>
      <c r="D99" s="65"/>
      <c r="E99" s="64">
        <f>E97</f>
        <v>3437.3</v>
      </c>
      <c r="F99" s="65"/>
      <c r="G99" s="65">
        <v>3080.5</v>
      </c>
      <c r="H99" s="65"/>
      <c r="I99" s="65"/>
      <c r="J99" s="65"/>
      <c r="K99" s="65"/>
      <c r="L99" s="65">
        <v>9324</v>
      </c>
      <c r="M99" s="117"/>
      <c r="N99" s="117"/>
    </row>
    <row r="100" spans="1:14" ht="14.25" customHeight="1">
      <c r="A100" s="118" t="s">
        <v>33</v>
      </c>
      <c r="B100" s="119"/>
      <c r="C100" s="120"/>
      <c r="D100" s="120"/>
      <c r="E100" s="119"/>
      <c r="F100" s="65"/>
      <c r="G100" s="120"/>
      <c r="H100" s="120"/>
      <c r="I100" s="65"/>
      <c r="J100" s="65"/>
      <c r="K100" s="65"/>
      <c r="L100" s="65"/>
      <c r="M100" s="117"/>
      <c r="N100" s="117"/>
    </row>
    <row r="101" spans="1:14" ht="14.25" customHeight="1">
      <c r="A101" s="118" t="s">
        <v>34</v>
      </c>
      <c r="B101" s="119"/>
      <c r="C101" s="120"/>
      <c r="D101" s="120"/>
      <c r="E101" s="119"/>
      <c r="F101" s="65"/>
      <c r="G101" s="65"/>
      <c r="H101" s="65"/>
      <c r="I101" s="65"/>
      <c r="J101" s="65"/>
      <c r="K101" s="65"/>
      <c r="L101" s="65"/>
      <c r="M101" s="117"/>
      <c r="N101" s="117"/>
    </row>
    <row r="102" spans="1:14" ht="14.25" customHeight="1">
      <c r="A102" s="118" t="s">
        <v>35</v>
      </c>
      <c r="B102" s="119"/>
      <c r="C102" s="120"/>
      <c r="D102" s="120"/>
      <c r="E102" s="119"/>
      <c r="F102" s="65"/>
      <c r="G102" s="65"/>
      <c r="H102" s="65"/>
      <c r="I102" s="65"/>
      <c r="J102" s="65"/>
      <c r="K102" s="65"/>
      <c r="L102" s="65"/>
      <c r="M102" s="117"/>
      <c r="N102" s="117"/>
    </row>
    <row r="103" spans="1:14" ht="27" customHeight="1">
      <c r="A103" s="118" t="s">
        <v>36</v>
      </c>
      <c r="B103" s="121"/>
      <c r="C103" s="120"/>
      <c r="D103" s="122"/>
      <c r="E103" s="121"/>
      <c r="F103" s="122"/>
      <c r="G103" s="122"/>
      <c r="H103" s="122"/>
      <c r="I103" s="65"/>
      <c r="J103" s="65"/>
      <c r="K103" s="65"/>
      <c r="L103" s="65"/>
      <c r="M103" s="117"/>
      <c r="N103" s="117"/>
    </row>
    <row r="104" spans="1:14" ht="15" customHeight="1">
      <c r="A104" s="51" t="s">
        <v>37</v>
      </c>
      <c r="B104" s="103">
        <v>0</v>
      </c>
      <c r="C104" s="53"/>
      <c r="D104" s="52"/>
      <c r="E104" s="52"/>
      <c r="F104" s="53"/>
      <c r="G104" s="52"/>
      <c r="H104" s="52"/>
      <c r="I104" s="53"/>
      <c r="J104" s="53"/>
      <c r="K104" s="52"/>
      <c r="L104" s="52"/>
      <c r="M104" s="112"/>
      <c r="N104" s="116"/>
    </row>
    <row r="105" spans="1:14" s="99" customFormat="1" ht="15" customHeight="1">
      <c r="A105" s="123" t="s">
        <v>25</v>
      </c>
      <c r="B105" s="124"/>
      <c r="C105" s="125"/>
      <c r="D105" s="126"/>
      <c r="E105" s="126"/>
      <c r="F105" s="125"/>
      <c r="G105" s="126"/>
      <c r="H105" s="126"/>
      <c r="I105" s="125"/>
      <c r="J105" s="125"/>
      <c r="K105" s="126"/>
      <c r="L105" s="126"/>
      <c r="M105" s="127"/>
      <c r="N105" s="128"/>
    </row>
    <row r="106" spans="1:14" ht="32.25" customHeight="1">
      <c r="A106" s="51" t="s">
        <v>178</v>
      </c>
      <c r="B106" s="192">
        <v>3.079</v>
      </c>
      <c r="C106" s="192">
        <v>3.079</v>
      </c>
      <c r="D106" s="192">
        <v>3.079</v>
      </c>
      <c r="E106" s="192">
        <v>3.079</v>
      </c>
      <c r="F106" s="192">
        <v>3.079</v>
      </c>
      <c r="G106" s="192">
        <v>3.079</v>
      </c>
      <c r="H106" s="192">
        <v>3.079</v>
      </c>
      <c r="I106" s="192">
        <v>3.079</v>
      </c>
      <c r="J106" s="192">
        <v>3.079</v>
      </c>
      <c r="K106" s="192">
        <v>3.079</v>
      </c>
      <c r="L106" s="192">
        <v>3.079</v>
      </c>
      <c r="M106" s="192"/>
      <c r="N106" s="116"/>
    </row>
    <row r="107" spans="1:14" ht="15" customHeight="1">
      <c r="A107" s="51" t="s">
        <v>38</v>
      </c>
      <c r="B107" s="103">
        <f aca="true" t="shared" si="23" ref="B107:G107">B7/B106</f>
        <v>30582.074332575514</v>
      </c>
      <c r="C107" s="103">
        <f t="shared" si="23"/>
        <v>26744.908850276064</v>
      </c>
      <c r="D107" s="193" t="e">
        <f t="shared" si="23"/>
        <v>#VALUE!</v>
      </c>
      <c r="E107" s="103">
        <f t="shared" si="23"/>
        <v>28185.084845729132</v>
      </c>
      <c r="F107" s="103">
        <f t="shared" si="23"/>
        <v>0</v>
      </c>
      <c r="G107" s="103">
        <f t="shared" si="23"/>
        <v>27943.49471906463</v>
      </c>
      <c r="H107" s="103"/>
      <c r="I107" s="103"/>
      <c r="J107" s="103"/>
      <c r="K107" s="103">
        <f>K7/K106</f>
        <v>0</v>
      </c>
      <c r="L107" s="103">
        <f>L7/L106</f>
        <v>20428.56284507957</v>
      </c>
      <c r="M107" s="103"/>
      <c r="N107" s="103"/>
    </row>
    <row r="108" spans="1:14" ht="15" customHeight="1">
      <c r="A108" s="51" t="s">
        <v>39</v>
      </c>
      <c r="B108" s="103">
        <f aca="true" t="shared" si="24" ref="B108:G108">B36/B106</f>
        <v>29000.43974667099</v>
      </c>
      <c r="C108" s="103">
        <f t="shared" si="24"/>
        <v>26744.90230269568</v>
      </c>
      <c r="D108" s="103">
        <f t="shared" si="24"/>
        <v>56.22405975966233</v>
      </c>
      <c r="E108" s="103">
        <f t="shared" si="24"/>
        <v>29301.45673270543</v>
      </c>
      <c r="F108" s="103">
        <f t="shared" si="24"/>
        <v>0</v>
      </c>
      <c r="G108" s="103">
        <f t="shared" si="24"/>
        <v>29158.954680090937</v>
      </c>
      <c r="H108" s="103"/>
      <c r="I108" s="103"/>
      <c r="J108" s="103"/>
      <c r="K108" s="103">
        <f>K36/K106</f>
        <v>0</v>
      </c>
      <c r="L108" s="103">
        <f>L36/L106</f>
        <v>45682.569639493326</v>
      </c>
      <c r="M108" s="103"/>
      <c r="N108" s="103"/>
    </row>
    <row r="109" spans="1:14" ht="45.75" customHeight="1">
      <c r="A109" s="51" t="s">
        <v>40</v>
      </c>
      <c r="B109" s="103">
        <v>79.1</v>
      </c>
      <c r="C109" s="129">
        <v>79.1</v>
      </c>
      <c r="D109" s="130"/>
      <c r="E109" s="130">
        <v>79.1</v>
      </c>
      <c r="F109" s="131"/>
      <c r="G109" s="130">
        <v>79.1</v>
      </c>
      <c r="H109" s="130"/>
      <c r="I109" s="132"/>
      <c r="J109" s="132"/>
      <c r="K109" s="116"/>
      <c r="L109" s="116">
        <v>79.3</v>
      </c>
      <c r="M109" s="112"/>
      <c r="N109" s="116"/>
    </row>
    <row r="110" spans="1:14" ht="31.5" customHeight="1">
      <c r="A110" s="51" t="s">
        <v>41</v>
      </c>
      <c r="B110" s="133">
        <v>37</v>
      </c>
      <c r="C110" s="129">
        <v>37</v>
      </c>
      <c r="D110" s="130"/>
      <c r="E110" s="130">
        <v>37</v>
      </c>
      <c r="F110" s="131"/>
      <c r="G110" s="130">
        <v>37</v>
      </c>
      <c r="H110" s="130"/>
      <c r="I110" s="132"/>
      <c r="J110" s="132"/>
      <c r="K110" s="116"/>
      <c r="L110" s="116">
        <v>37</v>
      </c>
      <c r="M110" s="112"/>
      <c r="N110" s="116"/>
    </row>
    <row r="111" spans="1:14" ht="22.5" customHeight="1">
      <c r="A111" s="51" t="s">
        <v>42</v>
      </c>
      <c r="B111" s="133">
        <v>10</v>
      </c>
      <c r="C111" s="129">
        <v>10</v>
      </c>
      <c r="D111" s="129"/>
      <c r="E111" s="129">
        <v>10</v>
      </c>
      <c r="F111" s="129"/>
      <c r="G111" s="129">
        <v>10</v>
      </c>
      <c r="H111" s="129"/>
      <c r="I111" s="132"/>
      <c r="J111" s="132"/>
      <c r="K111" s="116"/>
      <c r="L111" s="116">
        <v>10</v>
      </c>
      <c r="M111" s="112"/>
      <c r="N111" s="116"/>
    </row>
    <row r="112" spans="1:14" ht="18.75">
      <c r="A112" s="165" t="s">
        <v>120</v>
      </c>
      <c r="B112" s="166"/>
      <c r="C112" s="166"/>
      <c r="D112" s="166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</row>
    <row r="113" spans="1:2" ht="19.5" customHeight="1">
      <c r="A113" s="36"/>
      <c r="B113" s="36"/>
    </row>
    <row r="114" spans="1:14" ht="18" customHeight="1">
      <c r="A114" s="14" t="s">
        <v>224</v>
      </c>
      <c r="B114" s="36"/>
      <c r="F114" s="134"/>
      <c r="G114" s="134"/>
      <c r="H114" s="134"/>
      <c r="I114" s="134"/>
      <c r="J114" s="134"/>
      <c r="K114" s="134"/>
      <c r="L114" s="134"/>
      <c r="M114" s="134"/>
      <c r="N114" s="134"/>
    </row>
  </sheetData>
  <sheetProtection/>
  <mergeCells count="12">
    <mergeCell ref="F4:G5"/>
    <mergeCell ref="H4:H5"/>
    <mergeCell ref="I4:I5"/>
    <mergeCell ref="J4:J5"/>
    <mergeCell ref="K4:L4"/>
    <mergeCell ref="M4:N4"/>
    <mergeCell ref="A2:N2"/>
    <mergeCell ref="A4:A5"/>
    <mergeCell ref="B4:B5"/>
    <mergeCell ref="C4:C5"/>
    <mergeCell ref="E4:E5"/>
    <mergeCell ref="D4:D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3"/>
  <sheetViews>
    <sheetView zoomScale="73" zoomScaleNormal="73" workbookViewId="0" topLeftCell="A29">
      <selection activeCell="B38" sqref="B38"/>
    </sheetView>
  </sheetViews>
  <sheetFormatPr defaultColWidth="9.00390625" defaultRowHeight="12.75"/>
  <cols>
    <col min="1" max="1" width="39.125" style="0" customWidth="1"/>
    <col min="2" max="2" width="14.75390625" style="0" customWidth="1"/>
    <col min="3" max="3" width="12.125" style="0" customWidth="1"/>
    <col min="4" max="4" width="16.25390625" style="0" customWidth="1"/>
    <col min="5" max="5" width="14.875" style="0" customWidth="1"/>
    <col min="6" max="8" width="12.375" style="0" customWidth="1"/>
    <col min="9" max="9" width="13.875" style="0" customWidth="1"/>
    <col min="10" max="10" width="12.875" style="0" customWidth="1"/>
    <col min="11" max="12" width="10.375" style="0" customWidth="1"/>
    <col min="13" max="14" width="11.00390625" style="0" customWidth="1"/>
  </cols>
  <sheetData>
    <row r="1" spans="12:14" ht="18.75" customHeight="1">
      <c r="L1" s="169" t="s">
        <v>161</v>
      </c>
      <c r="M1" s="162"/>
      <c r="N1" s="162"/>
    </row>
    <row r="2" spans="1:14" s="4" customFormat="1" ht="36" customHeight="1">
      <c r="A2" s="247" t="s">
        <v>162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6.5" customHeight="1">
      <c r="A3" s="140" t="s">
        <v>87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</row>
    <row r="4" spans="1:14" ht="33.75" customHeight="1">
      <c r="A4" s="248" t="s">
        <v>5</v>
      </c>
      <c r="B4" s="248" t="s">
        <v>131</v>
      </c>
      <c r="C4" s="249" t="s">
        <v>163</v>
      </c>
      <c r="D4" s="250" t="s">
        <v>165</v>
      </c>
      <c r="E4" s="244" t="s">
        <v>164</v>
      </c>
      <c r="F4" s="245" t="s">
        <v>166</v>
      </c>
      <c r="G4" s="245"/>
      <c r="H4" s="250" t="s">
        <v>167</v>
      </c>
      <c r="I4" s="244" t="s">
        <v>169</v>
      </c>
      <c r="J4" s="244" t="s">
        <v>170</v>
      </c>
      <c r="K4" s="245" t="s">
        <v>171</v>
      </c>
      <c r="L4" s="245"/>
      <c r="M4" s="246" t="s">
        <v>172</v>
      </c>
      <c r="N4" s="246"/>
    </row>
    <row r="5" spans="1:14" ht="63.75" customHeight="1">
      <c r="A5" s="248"/>
      <c r="B5" s="248"/>
      <c r="C5" s="249"/>
      <c r="D5" s="251"/>
      <c r="E5" s="244"/>
      <c r="F5" s="48" t="s">
        <v>19</v>
      </c>
      <c r="G5" s="48" t="s">
        <v>20</v>
      </c>
      <c r="H5" s="251"/>
      <c r="I5" s="244"/>
      <c r="J5" s="244"/>
      <c r="K5" s="48" t="s">
        <v>21</v>
      </c>
      <c r="L5" s="48" t="s">
        <v>20</v>
      </c>
      <c r="M5" s="50" t="s">
        <v>22</v>
      </c>
      <c r="N5" s="50" t="s">
        <v>23</v>
      </c>
    </row>
    <row r="6" spans="1:14" ht="16.5" customHeight="1">
      <c r="A6" s="45">
        <v>1</v>
      </c>
      <c r="B6" s="45">
        <v>2</v>
      </c>
      <c r="C6" s="46">
        <v>3</v>
      </c>
      <c r="D6" s="49">
        <v>4</v>
      </c>
      <c r="E6" s="47">
        <v>5</v>
      </c>
      <c r="F6" s="48">
        <v>6</v>
      </c>
      <c r="G6" s="48">
        <v>7</v>
      </c>
      <c r="H6" s="49" t="s">
        <v>168</v>
      </c>
      <c r="I6" s="47">
        <v>9</v>
      </c>
      <c r="J6" s="47">
        <v>10</v>
      </c>
      <c r="K6" s="48">
        <v>11</v>
      </c>
      <c r="L6" s="48">
        <v>12</v>
      </c>
      <c r="M6" s="50">
        <v>13</v>
      </c>
      <c r="N6" s="50">
        <v>14</v>
      </c>
    </row>
    <row r="7" spans="1:65" s="56" customFormat="1" ht="36" customHeight="1">
      <c r="A7" s="51" t="s">
        <v>83</v>
      </c>
      <c r="B7" s="52">
        <f>B8+B28</f>
        <v>0</v>
      </c>
      <c r="C7" s="52">
        <f>C8+C28</f>
        <v>0</v>
      </c>
      <c r="D7" s="53" t="s">
        <v>3</v>
      </c>
      <c r="E7" s="52">
        <f>E8+E28</f>
        <v>0</v>
      </c>
      <c r="F7" s="52">
        <f>F8+F28</f>
        <v>0</v>
      </c>
      <c r="G7" s="52">
        <f>G8+G28</f>
        <v>0</v>
      </c>
      <c r="H7" s="52">
        <f aca="true" t="shared" si="0" ref="H7:H26">G7-E7</f>
        <v>0</v>
      </c>
      <c r="I7" s="54" t="e">
        <f>F7/B7</f>
        <v>#DIV/0!</v>
      </c>
      <c r="J7" s="54" t="e">
        <f>G7/B7</f>
        <v>#DIV/0!</v>
      </c>
      <c r="K7" s="52">
        <f>K8+K28</f>
        <v>0</v>
      </c>
      <c r="L7" s="52">
        <f>L8+L28</f>
        <v>0</v>
      </c>
      <c r="M7" s="55" t="e">
        <f>K7/F7</f>
        <v>#DIV/0!</v>
      </c>
      <c r="N7" s="55" t="e">
        <f>L7/G7</f>
        <v>#DIV/0!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</row>
    <row r="8" spans="1:14" ht="21.75" customHeight="1">
      <c r="A8" s="57" t="s">
        <v>24</v>
      </c>
      <c r="B8" s="58">
        <f>B10+B17</f>
        <v>0</v>
      </c>
      <c r="C8" s="58">
        <f>C10+C17</f>
        <v>0</v>
      </c>
      <c r="D8" s="59" t="s">
        <v>3</v>
      </c>
      <c r="E8" s="58">
        <f>E10+E17</f>
        <v>0</v>
      </c>
      <c r="F8" s="58">
        <f>F10+F17</f>
        <v>0</v>
      </c>
      <c r="G8" s="58">
        <f>G10+G17</f>
        <v>0</v>
      </c>
      <c r="H8" s="60">
        <f t="shared" si="0"/>
        <v>0</v>
      </c>
      <c r="I8" s="61" t="e">
        <f>F8/B8</f>
        <v>#DIV/0!</v>
      </c>
      <c r="J8" s="61" t="e">
        <f>G8/B8</f>
        <v>#DIV/0!</v>
      </c>
      <c r="K8" s="58">
        <f>K10+K17</f>
        <v>0</v>
      </c>
      <c r="L8" s="58">
        <f>L10+L17</f>
        <v>0</v>
      </c>
      <c r="M8" s="62" t="e">
        <f aca="true" t="shared" si="1" ref="M8:N26">K8/F8</f>
        <v>#DIV/0!</v>
      </c>
      <c r="N8" s="62" t="e">
        <f t="shared" si="1"/>
        <v>#DIV/0!</v>
      </c>
    </row>
    <row r="9" spans="1:14" ht="15">
      <c r="A9" s="63" t="s">
        <v>56</v>
      </c>
      <c r="B9" s="64"/>
      <c r="C9" s="65"/>
      <c r="D9" s="66" t="s">
        <v>3</v>
      </c>
      <c r="E9" s="65"/>
      <c r="F9" s="65"/>
      <c r="G9" s="65"/>
      <c r="H9" s="67">
        <f t="shared" si="0"/>
        <v>0</v>
      </c>
      <c r="I9" s="68"/>
      <c r="J9" s="68"/>
      <c r="K9" s="65"/>
      <c r="L9" s="65"/>
      <c r="M9" s="68" t="e">
        <f t="shared" si="1"/>
        <v>#DIV/0!</v>
      </c>
      <c r="N9" s="68" t="e">
        <f t="shared" si="1"/>
        <v>#DIV/0!</v>
      </c>
    </row>
    <row r="10" spans="1:14" ht="18" customHeight="1">
      <c r="A10" s="63" t="s">
        <v>57</v>
      </c>
      <c r="B10" s="64"/>
      <c r="C10" s="65"/>
      <c r="D10" s="66" t="s">
        <v>3</v>
      </c>
      <c r="E10" s="65"/>
      <c r="F10" s="69"/>
      <c r="G10" s="69"/>
      <c r="H10" s="70">
        <f t="shared" si="0"/>
        <v>0</v>
      </c>
      <c r="I10" s="71" t="e">
        <f aca="true" t="shared" si="2" ref="I10:I21">F10/B10</f>
        <v>#DIV/0!</v>
      </c>
      <c r="J10" s="72" t="e">
        <f aca="true" t="shared" si="3" ref="J10:J21">G10/B10</f>
        <v>#DIV/0!</v>
      </c>
      <c r="K10" s="69"/>
      <c r="L10" s="69"/>
      <c r="M10" s="68" t="e">
        <f t="shared" si="1"/>
        <v>#DIV/0!</v>
      </c>
      <c r="N10" s="68" t="e">
        <f t="shared" si="1"/>
        <v>#DIV/0!</v>
      </c>
    </row>
    <row r="11" spans="1:14" ht="18" customHeight="1">
      <c r="A11" s="63" t="s">
        <v>58</v>
      </c>
      <c r="B11" s="64"/>
      <c r="C11" s="65"/>
      <c r="D11" s="66" t="s">
        <v>3</v>
      </c>
      <c r="E11" s="65"/>
      <c r="F11" s="65"/>
      <c r="G11" s="65"/>
      <c r="H11" s="67">
        <f t="shared" si="0"/>
        <v>0</v>
      </c>
      <c r="I11" s="71" t="e">
        <f t="shared" si="2"/>
        <v>#DIV/0!</v>
      </c>
      <c r="J11" s="72" t="e">
        <f t="shared" si="3"/>
        <v>#DIV/0!</v>
      </c>
      <c r="K11" s="65"/>
      <c r="L11" s="65"/>
      <c r="M11" s="68" t="e">
        <f t="shared" si="1"/>
        <v>#DIV/0!</v>
      </c>
      <c r="N11" s="68" t="e">
        <f t="shared" si="1"/>
        <v>#DIV/0!</v>
      </c>
    </row>
    <row r="12" spans="1:14" ht="18" customHeight="1">
      <c r="A12" s="63" t="s">
        <v>59</v>
      </c>
      <c r="B12" s="64"/>
      <c r="C12" s="65"/>
      <c r="D12" s="66" t="s">
        <v>3</v>
      </c>
      <c r="E12" s="65"/>
      <c r="F12" s="65"/>
      <c r="G12" s="65"/>
      <c r="H12" s="67">
        <f t="shared" si="0"/>
        <v>0</v>
      </c>
      <c r="I12" s="71" t="e">
        <f t="shared" si="2"/>
        <v>#DIV/0!</v>
      </c>
      <c r="J12" s="72" t="e">
        <f t="shared" si="3"/>
        <v>#DIV/0!</v>
      </c>
      <c r="K12" s="65"/>
      <c r="L12" s="65"/>
      <c r="M12" s="68" t="e">
        <f t="shared" si="1"/>
        <v>#DIV/0!</v>
      </c>
      <c r="N12" s="68" t="e">
        <f t="shared" si="1"/>
        <v>#DIV/0!</v>
      </c>
    </row>
    <row r="13" spans="1:14" ht="18" customHeight="1">
      <c r="A13" s="63" t="s">
        <v>60</v>
      </c>
      <c r="B13" s="64"/>
      <c r="C13" s="65"/>
      <c r="D13" s="66" t="s">
        <v>3</v>
      </c>
      <c r="E13" s="65"/>
      <c r="F13" s="65"/>
      <c r="G13" s="65"/>
      <c r="H13" s="67">
        <f t="shared" si="0"/>
        <v>0</v>
      </c>
      <c r="I13" s="71" t="e">
        <f t="shared" si="2"/>
        <v>#DIV/0!</v>
      </c>
      <c r="J13" s="72" t="e">
        <f t="shared" si="3"/>
        <v>#DIV/0!</v>
      </c>
      <c r="K13" s="65"/>
      <c r="L13" s="65"/>
      <c r="M13" s="68" t="e">
        <f t="shared" si="1"/>
        <v>#DIV/0!</v>
      </c>
      <c r="N13" s="68" t="e">
        <f t="shared" si="1"/>
        <v>#DIV/0!</v>
      </c>
    </row>
    <row r="14" spans="1:14" ht="18" customHeight="1">
      <c r="A14" s="63" t="s">
        <v>61</v>
      </c>
      <c r="B14" s="64"/>
      <c r="C14" s="65"/>
      <c r="D14" s="66" t="s">
        <v>3</v>
      </c>
      <c r="E14" s="65"/>
      <c r="F14" s="65"/>
      <c r="G14" s="65"/>
      <c r="H14" s="67">
        <f t="shared" si="0"/>
        <v>0</v>
      </c>
      <c r="I14" s="71" t="e">
        <f t="shared" si="2"/>
        <v>#DIV/0!</v>
      </c>
      <c r="J14" s="72" t="e">
        <f t="shared" si="3"/>
        <v>#DIV/0!</v>
      </c>
      <c r="K14" s="65"/>
      <c r="L14" s="65"/>
      <c r="M14" s="68" t="e">
        <f t="shared" si="1"/>
        <v>#DIV/0!</v>
      </c>
      <c r="N14" s="68" t="e">
        <f t="shared" si="1"/>
        <v>#DIV/0!</v>
      </c>
    </row>
    <row r="15" spans="1:14" ht="18" customHeight="1">
      <c r="A15" s="63" t="s">
        <v>62</v>
      </c>
      <c r="B15" s="64"/>
      <c r="C15" s="65"/>
      <c r="D15" s="66" t="s">
        <v>3</v>
      </c>
      <c r="E15" s="65"/>
      <c r="F15" s="65"/>
      <c r="G15" s="65"/>
      <c r="H15" s="67">
        <f t="shared" si="0"/>
        <v>0</v>
      </c>
      <c r="I15" s="71" t="e">
        <f t="shared" si="2"/>
        <v>#DIV/0!</v>
      </c>
      <c r="J15" s="72" t="e">
        <f t="shared" si="3"/>
        <v>#DIV/0!</v>
      </c>
      <c r="K15" s="65"/>
      <c r="L15" s="65"/>
      <c r="M15" s="68" t="e">
        <f t="shared" si="1"/>
        <v>#DIV/0!</v>
      </c>
      <c r="N15" s="68" t="e">
        <f t="shared" si="1"/>
        <v>#DIV/0!</v>
      </c>
    </row>
    <row r="16" spans="1:14" ht="18" customHeight="1">
      <c r="A16" s="63" t="s">
        <v>63</v>
      </c>
      <c r="B16" s="64"/>
      <c r="C16" s="65"/>
      <c r="D16" s="66" t="s">
        <v>3</v>
      </c>
      <c r="E16" s="65"/>
      <c r="F16" s="65"/>
      <c r="G16" s="65"/>
      <c r="H16" s="67">
        <f t="shared" si="0"/>
        <v>0</v>
      </c>
      <c r="I16" s="71" t="e">
        <f t="shared" si="2"/>
        <v>#DIV/0!</v>
      </c>
      <c r="J16" s="72" t="e">
        <f t="shared" si="3"/>
        <v>#DIV/0!</v>
      </c>
      <c r="K16" s="65"/>
      <c r="L16" s="65"/>
      <c r="M16" s="68" t="e">
        <f t="shared" si="1"/>
        <v>#DIV/0!</v>
      </c>
      <c r="N16" s="68" t="e">
        <f t="shared" si="1"/>
        <v>#DIV/0!</v>
      </c>
    </row>
    <row r="17" spans="1:14" ht="18" customHeight="1">
      <c r="A17" s="63" t="s">
        <v>64</v>
      </c>
      <c r="B17" s="64"/>
      <c r="C17" s="65"/>
      <c r="D17" s="66" t="s">
        <v>3</v>
      </c>
      <c r="E17" s="65"/>
      <c r="F17" s="69"/>
      <c r="G17" s="69"/>
      <c r="H17" s="70">
        <f t="shared" si="0"/>
        <v>0</v>
      </c>
      <c r="I17" s="71" t="e">
        <f t="shared" si="2"/>
        <v>#DIV/0!</v>
      </c>
      <c r="J17" s="72" t="e">
        <f t="shared" si="3"/>
        <v>#DIV/0!</v>
      </c>
      <c r="K17" s="69"/>
      <c r="L17" s="69"/>
      <c r="M17" s="68" t="e">
        <f t="shared" si="1"/>
        <v>#DIV/0!</v>
      </c>
      <c r="N17" s="68" t="e">
        <f t="shared" si="1"/>
        <v>#DIV/0!</v>
      </c>
    </row>
    <row r="18" spans="1:14" ht="16.5" customHeight="1">
      <c r="A18" s="63" t="s">
        <v>65</v>
      </c>
      <c r="B18" s="64"/>
      <c r="C18" s="65"/>
      <c r="D18" s="66" t="s">
        <v>3</v>
      </c>
      <c r="E18" s="65"/>
      <c r="F18" s="69"/>
      <c r="G18" s="69"/>
      <c r="H18" s="70">
        <f t="shared" si="0"/>
        <v>0</v>
      </c>
      <c r="I18" s="71" t="e">
        <f t="shared" si="2"/>
        <v>#DIV/0!</v>
      </c>
      <c r="J18" s="72" t="e">
        <f t="shared" si="3"/>
        <v>#DIV/0!</v>
      </c>
      <c r="K18" s="69"/>
      <c r="L18" s="69"/>
      <c r="M18" s="68" t="e">
        <f t="shared" si="1"/>
        <v>#DIV/0!</v>
      </c>
      <c r="N18" s="68" t="e">
        <f t="shared" si="1"/>
        <v>#DIV/0!</v>
      </c>
    </row>
    <row r="19" spans="1:14" ht="45" customHeight="1">
      <c r="A19" s="63" t="s">
        <v>66</v>
      </c>
      <c r="B19" s="64"/>
      <c r="C19" s="65"/>
      <c r="D19" s="66" t="s">
        <v>3</v>
      </c>
      <c r="E19" s="65"/>
      <c r="F19" s="69"/>
      <c r="G19" s="69"/>
      <c r="H19" s="70">
        <f t="shared" si="0"/>
        <v>0</v>
      </c>
      <c r="I19" s="71" t="e">
        <f t="shared" si="2"/>
        <v>#DIV/0!</v>
      </c>
      <c r="J19" s="72" t="e">
        <f t="shared" si="3"/>
        <v>#DIV/0!</v>
      </c>
      <c r="K19" s="69"/>
      <c r="L19" s="69"/>
      <c r="M19" s="68" t="e">
        <f t="shared" si="1"/>
        <v>#DIV/0!</v>
      </c>
      <c r="N19" s="68" t="e">
        <f t="shared" si="1"/>
        <v>#DIV/0!</v>
      </c>
    </row>
    <row r="20" spans="1:14" ht="26.25" customHeight="1">
      <c r="A20" s="73" t="s">
        <v>67</v>
      </c>
      <c r="B20" s="64"/>
      <c r="C20" s="65"/>
      <c r="D20" s="66" t="s">
        <v>3</v>
      </c>
      <c r="E20" s="65"/>
      <c r="F20" s="69"/>
      <c r="G20" s="69"/>
      <c r="H20" s="70">
        <f t="shared" si="0"/>
        <v>0</v>
      </c>
      <c r="I20" s="71" t="e">
        <f t="shared" si="2"/>
        <v>#DIV/0!</v>
      </c>
      <c r="J20" s="72" t="e">
        <f t="shared" si="3"/>
        <v>#DIV/0!</v>
      </c>
      <c r="K20" s="69"/>
      <c r="L20" s="69"/>
      <c r="M20" s="68" t="e">
        <f t="shared" si="1"/>
        <v>#DIV/0!</v>
      </c>
      <c r="N20" s="68" t="e">
        <f t="shared" si="1"/>
        <v>#DIV/0!</v>
      </c>
    </row>
    <row r="21" spans="1:14" ht="34.5" customHeight="1">
      <c r="A21" s="74" t="s">
        <v>68</v>
      </c>
      <c r="B21" s="75"/>
      <c r="C21" s="65"/>
      <c r="D21" s="66" t="s">
        <v>3</v>
      </c>
      <c r="E21" s="65"/>
      <c r="F21" s="69"/>
      <c r="G21" s="69"/>
      <c r="H21" s="70">
        <f t="shared" si="0"/>
        <v>0</v>
      </c>
      <c r="I21" s="71" t="e">
        <f t="shared" si="2"/>
        <v>#DIV/0!</v>
      </c>
      <c r="J21" s="72" t="e">
        <f t="shared" si="3"/>
        <v>#DIV/0!</v>
      </c>
      <c r="K21" s="69"/>
      <c r="L21" s="69"/>
      <c r="M21" s="68" t="e">
        <f t="shared" si="1"/>
        <v>#DIV/0!</v>
      </c>
      <c r="N21" s="68" t="e">
        <f t="shared" si="1"/>
        <v>#DIV/0!</v>
      </c>
    </row>
    <row r="22" spans="1:14" ht="34.5" customHeight="1">
      <c r="A22" s="74" t="s">
        <v>179</v>
      </c>
      <c r="B22" s="75"/>
      <c r="C22" s="65"/>
      <c r="D22" s="66" t="s">
        <v>3</v>
      </c>
      <c r="E22" s="65"/>
      <c r="F22" s="69"/>
      <c r="G22" s="69"/>
      <c r="H22" s="70">
        <f>G22-E22</f>
        <v>0</v>
      </c>
      <c r="I22" s="71" t="e">
        <f>F22/B22</f>
        <v>#DIV/0!</v>
      </c>
      <c r="J22" s="72" t="e">
        <f>G22/B22</f>
        <v>#DIV/0!</v>
      </c>
      <c r="K22" s="69"/>
      <c r="L22" s="69"/>
      <c r="M22" s="68" t="e">
        <f>K22/F22</f>
        <v>#DIV/0!</v>
      </c>
      <c r="N22" s="68" t="e">
        <f>L22/G22</f>
        <v>#DIV/0!</v>
      </c>
    </row>
    <row r="23" spans="1:14" s="82" customFormat="1" ht="18.75" customHeight="1">
      <c r="A23" s="76" t="s">
        <v>25</v>
      </c>
      <c r="B23" s="77"/>
      <c r="C23" s="78"/>
      <c r="D23" s="78"/>
      <c r="E23" s="78"/>
      <c r="F23" s="78"/>
      <c r="G23" s="78"/>
      <c r="H23" s="79">
        <f t="shared" si="0"/>
        <v>0</v>
      </c>
      <c r="I23" s="80"/>
      <c r="J23" s="80"/>
      <c r="K23" s="78"/>
      <c r="L23" s="78"/>
      <c r="M23" s="81" t="e">
        <f t="shared" si="1"/>
        <v>#DIV/0!</v>
      </c>
      <c r="N23" s="81" t="e">
        <f t="shared" si="1"/>
        <v>#DIV/0!</v>
      </c>
    </row>
    <row r="24" spans="1:14" ht="19.5" customHeight="1">
      <c r="A24" s="63" t="s">
        <v>26</v>
      </c>
      <c r="B24" s="83"/>
      <c r="C24" s="65"/>
      <c r="D24" s="66" t="s">
        <v>3</v>
      </c>
      <c r="E24" s="65"/>
      <c r="F24" s="69"/>
      <c r="G24" s="65"/>
      <c r="H24" s="67">
        <f t="shared" si="0"/>
        <v>0</v>
      </c>
      <c r="I24" s="71" t="e">
        <f>F24/B24</f>
        <v>#DIV/0!</v>
      </c>
      <c r="J24" s="72" t="e">
        <f>G24/B24</f>
        <v>#DIV/0!</v>
      </c>
      <c r="K24" s="69"/>
      <c r="L24" s="69"/>
      <c r="M24" s="68" t="e">
        <f t="shared" si="1"/>
        <v>#DIV/0!</v>
      </c>
      <c r="N24" s="68" t="e">
        <f t="shared" si="1"/>
        <v>#DIV/0!</v>
      </c>
    </row>
    <row r="25" spans="1:14" ht="23.25" customHeight="1">
      <c r="A25" s="63" t="s">
        <v>27</v>
      </c>
      <c r="B25" s="64"/>
      <c r="C25" s="65"/>
      <c r="D25" s="66" t="s">
        <v>3</v>
      </c>
      <c r="E25" s="65"/>
      <c r="F25" s="69"/>
      <c r="G25" s="65"/>
      <c r="H25" s="67">
        <f t="shared" si="0"/>
        <v>0</v>
      </c>
      <c r="I25" s="71" t="e">
        <f>F25/B25</f>
        <v>#DIV/0!</v>
      </c>
      <c r="J25" s="72" t="e">
        <f>G25/B25</f>
        <v>#DIV/0!</v>
      </c>
      <c r="K25" s="69"/>
      <c r="L25" s="65"/>
      <c r="M25" s="68" t="e">
        <f t="shared" si="1"/>
        <v>#DIV/0!</v>
      </c>
      <c r="N25" s="68" t="e">
        <f t="shared" si="1"/>
        <v>#DIV/0!</v>
      </c>
    </row>
    <row r="26" spans="1:14" ht="23.25" customHeight="1">
      <c r="A26" s="63" t="s">
        <v>28</v>
      </c>
      <c r="B26" s="64"/>
      <c r="C26" s="65"/>
      <c r="D26" s="66" t="s">
        <v>3</v>
      </c>
      <c r="E26" s="65"/>
      <c r="F26" s="65"/>
      <c r="G26" s="65"/>
      <c r="H26" s="67">
        <f t="shared" si="0"/>
        <v>0</v>
      </c>
      <c r="I26" s="71" t="e">
        <f>F26/B26</f>
        <v>#DIV/0!</v>
      </c>
      <c r="J26" s="72" t="e">
        <f>G26/B26</f>
        <v>#DIV/0!</v>
      </c>
      <c r="K26" s="65"/>
      <c r="L26" s="65"/>
      <c r="M26" s="68" t="e">
        <f t="shared" si="1"/>
        <v>#DIV/0!</v>
      </c>
      <c r="N26" s="68" t="e">
        <f t="shared" si="1"/>
        <v>#DIV/0!</v>
      </c>
    </row>
    <row r="27" spans="1:14" ht="37.5" customHeight="1">
      <c r="A27" s="63" t="s">
        <v>111</v>
      </c>
      <c r="B27" s="161">
        <f>B25+B30</f>
        <v>0</v>
      </c>
      <c r="C27" s="161">
        <f aca="true" t="shared" si="4" ref="C27:H27">C25+C30</f>
        <v>0</v>
      </c>
      <c r="D27" s="161"/>
      <c r="E27" s="161">
        <f t="shared" si="4"/>
        <v>0</v>
      </c>
      <c r="F27" s="161">
        <f t="shared" si="4"/>
        <v>0</v>
      </c>
      <c r="G27" s="161">
        <f t="shared" si="4"/>
        <v>0</v>
      </c>
      <c r="H27" s="161">
        <f t="shared" si="4"/>
        <v>0</v>
      </c>
      <c r="I27" s="71"/>
      <c r="J27" s="72"/>
      <c r="K27" s="65"/>
      <c r="L27" s="65"/>
      <c r="M27" s="68"/>
      <c r="N27" s="68"/>
    </row>
    <row r="28" spans="1:14" s="82" customFormat="1" ht="30" customHeight="1">
      <c r="A28" s="57" t="s">
        <v>69</v>
      </c>
      <c r="B28" s="58">
        <f>B30+B31+B32+B33+B34+B35</f>
        <v>0</v>
      </c>
      <c r="C28" s="58">
        <f>C30+C31+C32+C33+C34+C35</f>
        <v>0</v>
      </c>
      <c r="D28" s="59" t="s">
        <v>3</v>
      </c>
      <c r="E28" s="58">
        <f>E30+E31+E32+E33+E34+E35</f>
        <v>0</v>
      </c>
      <c r="F28" s="58">
        <f>F30+F31+F32+F33+F34+F35</f>
        <v>0</v>
      </c>
      <c r="G28" s="58">
        <f>G30+G31+G32+G33+G34+G35</f>
        <v>0</v>
      </c>
      <c r="H28" s="60">
        <f aca="true" t="shared" si="5" ref="H28:H33">G28-E28</f>
        <v>0</v>
      </c>
      <c r="I28" s="61" t="e">
        <f>F28/B28</f>
        <v>#DIV/0!</v>
      </c>
      <c r="J28" s="61" t="e">
        <f>G28/B28</f>
        <v>#DIV/0!</v>
      </c>
      <c r="K28" s="58">
        <f>K30+K31+K32+K33+K34+K35</f>
        <v>0</v>
      </c>
      <c r="L28" s="58">
        <f>L30+L31+L32+L33+L34+L35</f>
        <v>0</v>
      </c>
      <c r="M28" s="61" t="e">
        <f aca="true" t="shared" si="6" ref="M28:N92">K28/F28</f>
        <v>#DIV/0!</v>
      </c>
      <c r="N28" s="61" t="e">
        <f t="shared" si="6"/>
        <v>#DIV/0!</v>
      </c>
    </row>
    <row r="29" spans="1:14" ht="18.75" customHeight="1">
      <c r="A29" s="73" t="s">
        <v>4</v>
      </c>
      <c r="B29" s="84"/>
      <c r="C29" s="85"/>
      <c r="D29" s="85"/>
      <c r="E29" s="85"/>
      <c r="F29" s="65"/>
      <c r="G29" s="65"/>
      <c r="H29" s="67">
        <f t="shared" si="5"/>
        <v>0</v>
      </c>
      <c r="I29" s="68"/>
      <c r="J29" s="68"/>
      <c r="K29" s="65"/>
      <c r="L29" s="65"/>
      <c r="M29" s="68" t="e">
        <f t="shared" si="6"/>
        <v>#DIV/0!</v>
      </c>
      <c r="N29" s="68" t="e">
        <f t="shared" si="6"/>
        <v>#DIV/0!</v>
      </c>
    </row>
    <row r="30" spans="1:14" ht="33" customHeight="1">
      <c r="A30" s="63" t="s">
        <v>175</v>
      </c>
      <c r="B30" s="64"/>
      <c r="C30" s="65"/>
      <c r="D30" s="66" t="s">
        <v>3</v>
      </c>
      <c r="E30" s="65"/>
      <c r="F30" s="65"/>
      <c r="G30" s="65"/>
      <c r="H30" s="67">
        <f t="shared" si="5"/>
        <v>0</v>
      </c>
      <c r="I30" s="71" t="e">
        <f aca="true" t="shared" si="7" ref="I30:I36">F30/B30</f>
        <v>#DIV/0!</v>
      </c>
      <c r="J30" s="72" t="e">
        <f aca="true" t="shared" si="8" ref="J30:J92">G30/B30</f>
        <v>#DIV/0!</v>
      </c>
      <c r="K30" s="65"/>
      <c r="L30" s="65"/>
      <c r="M30" s="68" t="e">
        <f t="shared" si="6"/>
        <v>#DIV/0!</v>
      </c>
      <c r="N30" s="68" t="e">
        <f t="shared" si="6"/>
        <v>#DIV/0!</v>
      </c>
    </row>
    <row r="31" spans="1:14" ht="48.75" customHeight="1">
      <c r="A31" s="63" t="s">
        <v>176</v>
      </c>
      <c r="B31" s="64"/>
      <c r="C31" s="65"/>
      <c r="D31" s="66" t="s">
        <v>3</v>
      </c>
      <c r="E31" s="65"/>
      <c r="F31" s="65"/>
      <c r="G31" s="65"/>
      <c r="H31" s="67">
        <f t="shared" si="5"/>
        <v>0</v>
      </c>
      <c r="I31" s="71" t="e">
        <f t="shared" si="7"/>
        <v>#DIV/0!</v>
      </c>
      <c r="J31" s="72" t="e">
        <f t="shared" si="8"/>
        <v>#DIV/0!</v>
      </c>
      <c r="K31" s="65"/>
      <c r="L31" s="65"/>
      <c r="M31" s="68" t="e">
        <f t="shared" si="6"/>
        <v>#DIV/0!</v>
      </c>
      <c r="N31" s="68" t="e">
        <f t="shared" si="6"/>
        <v>#DIV/0!</v>
      </c>
    </row>
    <row r="32" spans="1:14" ht="17.25" customHeight="1">
      <c r="A32" s="63" t="s">
        <v>70</v>
      </c>
      <c r="B32" s="64"/>
      <c r="C32" s="65"/>
      <c r="D32" s="66" t="s">
        <v>3</v>
      </c>
      <c r="E32" s="65"/>
      <c r="F32" s="65"/>
      <c r="G32" s="65"/>
      <c r="H32" s="67">
        <f t="shared" si="5"/>
        <v>0</v>
      </c>
      <c r="I32" s="71" t="e">
        <f t="shared" si="7"/>
        <v>#DIV/0!</v>
      </c>
      <c r="J32" s="72" t="e">
        <f t="shared" si="8"/>
        <v>#DIV/0!</v>
      </c>
      <c r="K32" s="86"/>
      <c r="L32" s="86"/>
      <c r="M32" s="68" t="e">
        <f t="shared" si="6"/>
        <v>#DIV/0!</v>
      </c>
      <c r="N32" s="68" t="e">
        <f t="shared" si="6"/>
        <v>#DIV/0!</v>
      </c>
    </row>
    <row r="33" spans="1:14" ht="17.25" customHeight="1">
      <c r="A33" s="63" t="s">
        <v>71</v>
      </c>
      <c r="B33" s="64"/>
      <c r="C33" s="65"/>
      <c r="D33" s="66" t="s">
        <v>3</v>
      </c>
      <c r="E33" s="65"/>
      <c r="F33" s="65"/>
      <c r="G33" s="65"/>
      <c r="H33" s="67">
        <f t="shared" si="5"/>
        <v>0</v>
      </c>
      <c r="I33" s="71" t="e">
        <f t="shared" si="7"/>
        <v>#DIV/0!</v>
      </c>
      <c r="J33" s="72" t="e">
        <f t="shared" si="8"/>
        <v>#DIV/0!</v>
      </c>
      <c r="K33" s="65"/>
      <c r="L33" s="65"/>
      <c r="M33" s="68" t="e">
        <f t="shared" si="6"/>
        <v>#DIV/0!</v>
      </c>
      <c r="N33" s="68" t="e">
        <f t="shared" si="6"/>
        <v>#DIV/0!</v>
      </c>
    </row>
    <row r="34" spans="1:14" ht="33" customHeight="1">
      <c r="A34" s="63" t="s">
        <v>173</v>
      </c>
      <c r="B34" s="64"/>
      <c r="C34" s="65"/>
      <c r="D34" s="66"/>
      <c r="E34" s="65"/>
      <c r="F34" s="65"/>
      <c r="G34" s="65"/>
      <c r="H34" s="67"/>
      <c r="I34" s="71" t="e">
        <f t="shared" si="7"/>
        <v>#DIV/0!</v>
      </c>
      <c r="J34" s="72" t="e">
        <f t="shared" si="8"/>
        <v>#DIV/0!</v>
      </c>
      <c r="K34" s="65"/>
      <c r="L34" s="65"/>
      <c r="M34" s="68" t="e">
        <f>K34/F34</f>
        <v>#DIV/0!</v>
      </c>
      <c r="N34" s="68" t="e">
        <f>L34/G34</f>
        <v>#DIV/0!</v>
      </c>
    </row>
    <row r="35" spans="1:14" ht="33" customHeight="1">
      <c r="A35" s="63" t="s">
        <v>174</v>
      </c>
      <c r="B35" s="64"/>
      <c r="C35" s="65"/>
      <c r="D35" s="66"/>
      <c r="E35" s="65"/>
      <c r="F35" s="65"/>
      <c r="G35" s="65"/>
      <c r="H35" s="67"/>
      <c r="I35" s="71" t="e">
        <f t="shared" si="7"/>
        <v>#DIV/0!</v>
      </c>
      <c r="J35" s="72" t="e">
        <f t="shared" si="8"/>
        <v>#DIV/0!</v>
      </c>
      <c r="K35" s="65"/>
      <c r="L35" s="65"/>
      <c r="M35" s="68" t="e">
        <f>K35/F35</f>
        <v>#DIV/0!</v>
      </c>
      <c r="N35" s="68" t="e">
        <f>L35/G35</f>
        <v>#DIV/0!</v>
      </c>
    </row>
    <row r="36" spans="1:14" s="82" customFormat="1" ht="64.5" customHeight="1">
      <c r="A36" s="51" t="s">
        <v>137</v>
      </c>
      <c r="B36" s="52">
        <f aca="true" t="shared" si="9" ref="B36:G36">B38+B59+B71+B92</f>
        <v>68686.22110000001</v>
      </c>
      <c r="C36" s="52">
        <f t="shared" si="9"/>
        <v>64274.19435</v>
      </c>
      <c r="D36" s="52">
        <f t="shared" si="9"/>
        <v>0</v>
      </c>
      <c r="E36" s="52">
        <f t="shared" si="9"/>
        <v>70617.90837</v>
      </c>
      <c r="F36" s="52">
        <f t="shared" si="9"/>
        <v>0</v>
      </c>
      <c r="G36" s="52">
        <f t="shared" si="9"/>
        <v>0</v>
      </c>
      <c r="H36" s="87">
        <f>G36-E36</f>
        <v>-70617.90837</v>
      </c>
      <c r="I36" s="54">
        <f t="shared" si="7"/>
        <v>0</v>
      </c>
      <c r="J36" s="54">
        <f t="shared" si="8"/>
        <v>0</v>
      </c>
      <c r="K36" s="52">
        <f>K38+K59+K71+K92</f>
        <v>0</v>
      </c>
      <c r="L36" s="52">
        <f>L38+L59+L71+L92</f>
        <v>2975.46</v>
      </c>
      <c r="M36" s="55" t="e">
        <f t="shared" si="6"/>
        <v>#DIV/0!</v>
      </c>
      <c r="N36" s="55" t="e">
        <f t="shared" si="6"/>
        <v>#DIV/0!</v>
      </c>
    </row>
    <row r="37" spans="1:14" ht="14.25" customHeight="1">
      <c r="A37" s="88" t="s">
        <v>4</v>
      </c>
      <c r="B37" s="89"/>
      <c r="C37" s="90"/>
      <c r="D37" s="90"/>
      <c r="E37" s="90"/>
      <c r="F37" s="90"/>
      <c r="G37" s="90"/>
      <c r="H37" s="87">
        <f>G37-E37</f>
        <v>0</v>
      </c>
      <c r="I37" s="91"/>
      <c r="J37" s="91" t="e">
        <f t="shared" si="8"/>
        <v>#DIV/0!</v>
      </c>
      <c r="K37" s="92"/>
      <c r="L37" s="92"/>
      <c r="M37" s="55" t="e">
        <f t="shared" si="6"/>
        <v>#DIV/0!</v>
      </c>
      <c r="N37" s="55" t="e">
        <f t="shared" si="6"/>
        <v>#DIV/0!</v>
      </c>
    </row>
    <row r="38" spans="1:14" s="82" customFormat="1" ht="30.75" customHeight="1">
      <c r="A38" s="57" t="s">
        <v>72</v>
      </c>
      <c r="B38" s="58">
        <f>B39+B40+B43+B44+B45+B46+B56+B47+B41+B55</f>
        <v>47557.395730000004</v>
      </c>
      <c r="C38" s="58">
        <f>C39+C40+C41+C43+C44+C45+C46+C48+C49+C50+C51+C52+C53+C54+C55+C56</f>
        <v>47555.130339999996</v>
      </c>
      <c r="D38" s="58">
        <f>D39+D40+D43+D44+D45+D46+D61+D56+D47+D41</f>
        <v>0</v>
      </c>
      <c r="E38" s="58">
        <f>E39+E40+E43+E44+E45+E46+E47+E55+E56</f>
        <v>49133.0651</v>
      </c>
      <c r="F38" s="58">
        <f>F39+F40+F43+F44+F45+F46+F61+F56+F47+F41</f>
        <v>0</v>
      </c>
      <c r="G38" s="58">
        <f>G39+G40+G43+G44+G45+G46+G61+G56+G47+G41</f>
        <v>0</v>
      </c>
      <c r="H38" s="58">
        <f>H39+H40+H43+H44+H45+H46+H61+H56+H47+H41</f>
        <v>-47720.407719999996</v>
      </c>
      <c r="I38" s="61">
        <f aca="true" t="shared" si="10" ref="I38:I92">F38/B38</f>
        <v>0</v>
      </c>
      <c r="J38" s="61">
        <f t="shared" si="8"/>
        <v>0</v>
      </c>
      <c r="K38" s="58">
        <f>K39+K40+K43+K44+K45+K46+K61+K56+K47+K41</f>
        <v>0</v>
      </c>
      <c r="L38" s="58">
        <f>L39+L40+L43+L44+L45+L46+L61+L56+L47+L41</f>
        <v>0</v>
      </c>
      <c r="M38" s="61" t="e">
        <f t="shared" si="6"/>
        <v>#DIV/0!</v>
      </c>
      <c r="N38" s="61" t="e">
        <f t="shared" si="6"/>
        <v>#DIV/0!</v>
      </c>
    </row>
    <row r="39" spans="1:14" s="2" customFormat="1" ht="38.25" customHeight="1">
      <c r="A39" s="63" t="s">
        <v>115</v>
      </c>
      <c r="B39" s="65">
        <f>38624.55741-45.28241-7.254</f>
        <v>38572.021</v>
      </c>
      <c r="C39" s="65">
        <v>40244.0786</v>
      </c>
      <c r="D39" s="65"/>
      <c r="E39" s="65">
        <v>40065.12769</v>
      </c>
      <c r="F39" s="65"/>
      <c r="G39" s="65"/>
      <c r="H39" s="67">
        <f aca="true" t="shared" si="11" ref="H39:H92">G39-E39</f>
        <v>-40065.12769</v>
      </c>
      <c r="I39" s="93">
        <f t="shared" si="10"/>
        <v>0</v>
      </c>
      <c r="J39" s="93">
        <f t="shared" si="8"/>
        <v>0</v>
      </c>
      <c r="K39" s="65"/>
      <c r="L39" s="65"/>
      <c r="M39" s="68" t="e">
        <f t="shared" si="6"/>
        <v>#DIV/0!</v>
      </c>
      <c r="N39" s="68" t="e">
        <f t="shared" si="6"/>
        <v>#DIV/0!</v>
      </c>
    </row>
    <row r="40" spans="1:14" s="100" customFormat="1" ht="42" customHeight="1">
      <c r="A40" s="63" t="s">
        <v>116</v>
      </c>
      <c r="B40" s="64">
        <f>1009.1832-13.2</f>
        <v>995.9832</v>
      </c>
      <c r="C40" s="65">
        <v>1506.458</v>
      </c>
      <c r="D40" s="65"/>
      <c r="E40" s="65">
        <v>1444.66718</v>
      </c>
      <c r="F40" s="96"/>
      <c r="G40" s="65"/>
      <c r="H40" s="67">
        <f t="shared" si="11"/>
        <v>-1444.66718</v>
      </c>
      <c r="I40" s="93">
        <f t="shared" si="10"/>
        <v>0</v>
      </c>
      <c r="J40" s="93">
        <f t="shared" si="8"/>
        <v>0</v>
      </c>
      <c r="K40" s="85"/>
      <c r="L40" s="85"/>
      <c r="M40" s="98" t="e">
        <f t="shared" si="6"/>
        <v>#DIV/0!</v>
      </c>
      <c r="N40" s="98" t="e">
        <f t="shared" si="6"/>
        <v>#DIV/0!</v>
      </c>
    </row>
    <row r="41" spans="1:14" s="100" customFormat="1" ht="29.25" customHeight="1">
      <c r="A41" s="101" t="s">
        <v>77</v>
      </c>
      <c r="B41" s="65">
        <v>0</v>
      </c>
      <c r="C41" s="65">
        <v>0</v>
      </c>
      <c r="D41" s="65"/>
      <c r="E41" s="65">
        <v>0</v>
      </c>
      <c r="F41" s="96"/>
      <c r="G41" s="65"/>
      <c r="H41" s="67">
        <f t="shared" si="11"/>
        <v>0</v>
      </c>
      <c r="I41" s="93" t="e">
        <f t="shared" si="10"/>
        <v>#DIV/0!</v>
      </c>
      <c r="J41" s="93" t="e">
        <f t="shared" si="8"/>
        <v>#DIV/0!</v>
      </c>
      <c r="K41" s="85"/>
      <c r="L41" s="85"/>
      <c r="M41" s="98" t="e">
        <f t="shared" si="6"/>
        <v>#DIV/0!</v>
      </c>
      <c r="N41" s="98" t="e">
        <f t="shared" si="6"/>
        <v>#DIV/0!</v>
      </c>
    </row>
    <row r="42" spans="1:14" s="100" customFormat="1" ht="34.5" customHeight="1">
      <c r="A42" s="63" t="s">
        <v>122</v>
      </c>
      <c r="B42" s="167">
        <f aca="true" t="shared" si="12" ref="B42:G42">B43+B44+B45+B46+B47+B55</f>
        <v>7533.86845</v>
      </c>
      <c r="C42" s="167">
        <f t="shared" si="12"/>
        <v>5275.781739999999</v>
      </c>
      <c r="D42" s="167">
        <f t="shared" si="12"/>
        <v>0</v>
      </c>
      <c r="E42" s="167">
        <f t="shared" si="12"/>
        <v>7000.4434599999995</v>
      </c>
      <c r="F42" s="167">
        <f t="shared" si="12"/>
        <v>0</v>
      </c>
      <c r="G42" s="167">
        <f t="shared" si="12"/>
        <v>0</v>
      </c>
      <c r="H42" s="67">
        <f t="shared" si="11"/>
        <v>-7000.4434599999995</v>
      </c>
      <c r="I42" s="93">
        <f t="shared" si="10"/>
        <v>0</v>
      </c>
      <c r="J42" s="93">
        <f t="shared" si="8"/>
        <v>0</v>
      </c>
      <c r="K42" s="167">
        <f>K43+K44+K45+K46+K47+K55</f>
        <v>0</v>
      </c>
      <c r="L42" s="167">
        <f>L43+L44+L45+L46+L47+L55</f>
        <v>0</v>
      </c>
      <c r="M42" s="98" t="e">
        <f t="shared" si="6"/>
        <v>#DIV/0!</v>
      </c>
      <c r="N42" s="98" t="e">
        <f t="shared" si="6"/>
        <v>#DIV/0!</v>
      </c>
    </row>
    <row r="43" spans="1:14" s="99" customFormat="1" ht="15" customHeight="1">
      <c r="A43" s="73" t="s">
        <v>81</v>
      </c>
      <c r="B43" s="84">
        <v>896.32246</v>
      </c>
      <c r="C43" s="85">
        <v>802.13</v>
      </c>
      <c r="D43" s="85"/>
      <c r="E43" s="85">
        <v>920.16388</v>
      </c>
      <c r="F43" s="96"/>
      <c r="G43" s="85"/>
      <c r="H43" s="135">
        <f t="shared" si="11"/>
        <v>-920.16388</v>
      </c>
      <c r="I43" s="93">
        <f t="shared" si="10"/>
        <v>0</v>
      </c>
      <c r="J43" s="93">
        <f t="shared" si="8"/>
        <v>0</v>
      </c>
      <c r="K43" s="85"/>
      <c r="L43" s="85"/>
      <c r="M43" s="98" t="e">
        <f t="shared" si="6"/>
        <v>#DIV/0!</v>
      </c>
      <c r="N43" s="98" t="e">
        <f t="shared" si="6"/>
        <v>#DIV/0!</v>
      </c>
    </row>
    <row r="44" spans="1:14" s="99" customFormat="1" ht="15" customHeight="1">
      <c r="A44" s="73" t="s">
        <v>80</v>
      </c>
      <c r="B44" s="84">
        <v>317.9905</v>
      </c>
      <c r="C44" s="85">
        <v>0</v>
      </c>
      <c r="D44" s="85"/>
      <c r="E44" s="85"/>
      <c r="F44" s="96"/>
      <c r="G44" s="85"/>
      <c r="H44" s="135">
        <f t="shared" si="11"/>
        <v>0</v>
      </c>
      <c r="I44" s="93">
        <f t="shared" si="10"/>
        <v>0</v>
      </c>
      <c r="J44" s="93">
        <f t="shared" si="8"/>
        <v>0</v>
      </c>
      <c r="K44" s="85"/>
      <c r="L44" s="85"/>
      <c r="M44" s="98" t="e">
        <f t="shared" si="6"/>
        <v>#DIV/0!</v>
      </c>
      <c r="N44" s="98" t="e">
        <f t="shared" si="6"/>
        <v>#DIV/0!</v>
      </c>
    </row>
    <row r="45" spans="1:14" s="99" customFormat="1" ht="15" customHeight="1">
      <c r="A45" s="73" t="s">
        <v>78</v>
      </c>
      <c r="B45" s="84">
        <f>2436.41583</f>
        <v>2436.41583</v>
      </c>
      <c r="C45" s="85">
        <v>2584.07741</v>
      </c>
      <c r="D45" s="85"/>
      <c r="E45" s="85">
        <v>2700.02438</v>
      </c>
      <c r="F45" s="96"/>
      <c r="G45" s="85"/>
      <c r="H45" s="135">
        <f t="shared" si="11"/>
        <v>-2700.02438</v>
      </c>
      <c r="I45" s="93">
        <f t="shared" si="10"/>
        <v>0</v>
      </c>
      <c r="J45" s="93">
        <f t="shared" si="8"/>
        <v>0</v>
      </c>
      <c r="K45" s="85"/>
      <c r="L45" s="85"/>
      <c r="M45" s="98" t="e">
        <f t="shared" si="6"/>
        <v>#DIV/0!</v>
      </c>
      <c r="N45" s="98" t="e">
        <f t="shared" si="6"/>
        <v>#DIV/0!</v>
      </c>
    </row>
    <row r="46" spans="1:14" s="99" customFormat="1" ht="30.75" customHeight="1">
      <c r="A46" s="73" t="s">
        <v>79</v>
      </c>
      <c r="B46" s="84">
        <v>0</v>
      </c>
      <c r="C46" s="85"/>
      <c r="D46" s="85"/>
      <c r="E46" s="85"/>
      <c r="F46" s="85"/>
      <c r="G46" s="85"/>
      <c r="H46" s="135">
        <f t="shared" si="11"/>
        <v>0</v>
      </c>
      <c r="I46" s="93" t="e">
        <f t="shared" si="10"/>
        <v>#DIV/0!</v>
      </c>
      <c r="J46" s="93" t="e">
        <f t="shared" si="8"/>
        <v>#DIV/0!</v>
      </c>
      <c r="K46" s="85"/>
      <c r="L46" s="85"/>
      <c r="M46" s="98" t="e">
        <f t="shared" si="6"/>
        <v>#DIV/0!</v>
      </c>
      <c r="N46" s="98" t="e">
        <f t="shared" si="6"/>
        <v>#DIV/0!</v>
      </c>
    </row>
    <row r="47" spans="1:14" s="99" customFormat="1" ht="30.75" customHeight="1">
      <c r="A47" s="136" t="s">
        <v>82</v>
      </c>
      <c r="B47" s="84">
        <f>2101.56883-9.17002</f>
        <v>2092.39881</v>
      </c>
      <c r="C47" s="85">
        <f>SUM(C48:C54)</f>
        <v>1401.4513699999998</v>
      </c>
      <c r="D47" s="85"/>
      <c r="E47" s="85">
        <f>SUM(E48:E54)</f>
        <v>1854.82782</v>
      </c>
      <c r="F47" s="96"/>
      <c r="G47" s="85"/>
      <c r="H47" s="135">
        <f t="shared" si="11"/>
        <v>-1854.82782</v>
      </c>
      <c r="I47" s="93">
        <f t="shared" si="10"/>
        <v>0</v>
      </c>
      <c r="J47" s="93">
        <f t="shared" si="8"/>
        <v>0</v>
      </c>
      <c r="K47" s="85"/>
      <c r="L47" s="85"/>
      <c r="M47" s="98" t="e">
        <f t="shared" si="6"/>
        <v>#DIV/0!</v>
      </c>
      <c r="N47" s="98" t="e">
        <f t="shared" si="6"/>
        <v>#DIV/0!</v>
      </c>
    </row>
    <row r="48" spans="1:14" s="99" customFormat="1" ht="30.75" customHeight="1">
      <c r="A48" s="174" t="s">
        <v>210</v>
      </c>
      <c r="B48" s="84"/>
      <c r="C48" s="85"/>
      <c r="D48" s="85"/>
      <c r="E48" s="85">
        <v>3.28833</v>
      </c>
      <c r="F48" s="96"/>
      <c r="G48" s="85"/>
      <c r="H48" s="135"/>
      <c r="I48" s="93"/>
      <c r="J48" s="93"/>
      <c r="K48" s="85"/>
      <c r="L48" s="85"/>
      <c r="M48" s="98"/>
      <c r="N48" s="98"/>
    </row>
    <row r="49" spans="1:14" s="99" customFormat="1" ht="15" customHeight="1">
      <c r="A49" s="174" t="s">
        <v>204</v>
      </c>
      <c r="B49" s="84"/>
      <c r="C49" s="85">
        <v>73</v>
      </c>
      <c r="D49" s="85"/>
      <c r="E49" s="85">
        <v>73</v>
      </c>
      <c r="F49" s="85"/>
      <c r="G49" s="85"/>
      <c r="H49" s="135">
        <f t="shared" si="11"/>
        <v>-73</v>
      </c>
      <c r="I49" s="93" t="e">
        <f t="shared" si="10"/>
        <v>#DIV/0!</v>
      </c>
      <c r="J49" s="93" t="e">
        <f t="shared" si="8"/>
        <v>#DIV/0!</v>
      </c>
      <c r="K49" s="85"/>
      <c r="L49" s="85"/>
      <c r="M49" s="98" t="e">
        <f t="shared" si="6"/>
        <v>#DIV/0!</v>
      </c>
      <c r="N49" s="98" t="e">
        <f t="shared" si="6"/>
        <v>#DIV/0!</v>
      </c>
    </row>
    <row r="50" spans="1:14" s="99" customFormat="1" ht="15" customHeight="1">
      <c r="A50" s="174" t="s">
        <v>205</v>
      </c>
      <c r="B50" s="84"/>
      <c r="C50" s="85">
        <v>512</v>
      </c>
      <c r="D50" s="85"/>
      <c r="E50" s="85">
        <v>506.964</v>
      </c>
      <c r="F50" s="85"/>
      <c r="G50" s="85"/>
      <c r="H50" s="135">
        <f t="shared" si="11"/>
        <v>-506.964</v>
      </c>
      <c r="I50" s="93"/>
      <c r="J50" s="93"/>
      <c r="K50" s="85"/>
      <c r="L50" s="85"/>
      <c r="M50" s="98"/>
      <c r="N50" s="98"/>
    </row>
    <row r="51" spans="1:14" s="99" customFormat="1" ht="15" customHeight="1">
      <c r="A51" s="174" t="s">
        <v>211</v>
      </c>
      <c r="B51" s="84"/>
      <c r="C51" s="85">
        <v>0</v>
      </c>
      <c r="D51" s="85"/>
      <c r="E51" s="85">
        <v>69.116</v>
      </c>
      <c r="F51" s="85"/>
      <c r="G51" s="85"/>
      <c r="H51" s="135">
        <f t="shared" si="11"/>
        <v>-69.116</v>
      </c>
      <c r="I51" s="93"/>
      <c r="J51" s="93"/>
      <c r="K51" s="85"/>
      <c r="L51" s="85"/>
      <c r="M51" s="98"/>
      <c r="N51" s="98"/>
    </row>
    <row r="52" spans="1:14" s="99" customFormat="1" ht="15" customHeight="1">
      <c r="A52" s="174" t="s">
        <v>206</v>
      </c>
      <c r="B52" s="84"/>
      <c r="C52" s="85">
        <v>23.5</v>
      </c>
      <c r="D52" s="85"/>
      <c r="E52" s="85">
        <v>20</v>
      </c>
      <c r="F52" s="85"/>
      <c r="G52" s="85"/>
      <c r="H52" s="135">
        <f t="shared" si="11"/>
        <v>-20</v>
      </c>
      <c r="I52" s="93"/>
      <c r="J52" s="93"/>
      <c r="K52" s="85"/>
      <c r="L52" s="85"/>
      <c r="M52" s="98"/>
      <c r="N52" s="98"/>
    </row>
    <row r="53" spans="1:14" s="99" customFormat="1" ht="25.5" customHeight="1">
      <c r="A53" s="174" t="s">
        <v>207</v>
      </c>
      <c r="B53" s="84"/>
      <c r="C53" s="85">
        <f>386.037+102.13776</f>
        <v>488.17476</v>
      </c>
      <c r="D53" s="85"/>
      <c r="E53" s="85">
        <v>906.92846</v>
      </c>
      <c r="F53" s="85"/>
      <c r="G53" s="85"/>
      <c r="H53" s="135">
        <f t="shared" si="11"/>
        <v>-906.92846</v>
      </c>
      <c r="I53" s="93"/>
      <c r="J53" s="93"/>
      <c r="K53" s="85"/>
      <c r="L53" s="85"/>
      <c r="M53" s="98"/>
      <c r="N53" s="98"/>
    </row>
    <row r="54" spans="1:14" s="99" customFormat="1" ht="25.5" customHeight="1">
      <c r="A54" s="174" t="s">
        <v>208</v>
      </c>
      <c r="B54" s="84"/>
      <c r="C54" s="85">
        <f>274.77661+30</f>
        <v>304.77661</v>
      </c>
      <c r="D54" s="85"/>
      <c r="E54" s="85">
        <v>275.53103</v>
      </c>
      <c r="F54" s="85"/>
      <c r="G54" s="85"/>
      <c r="H54" s="135">
        <f t="shared" si="11"/>
        <v>-275.53103</v>
      </c>
      <c r="I54" s="93"/>
      <c r="J54" s="93"/>
      <c r="K54" s="85"/>
      <c r="L54" s="85"/>
      <c r="M54" s="98"/>
      <c r="N54" s="98"/>
    </row>
    <row r="55" spans="1:14" s="99" customFormat="1" ht="29.25" customHeight="1">
      <c r="A55" s="136" t="s">
        <v>128</v>
      </c>
      <c r="B55" s="84">
        <f>1790.74085</f>
        <v>1790.74085</v>
      </c>
      <c r="C55" s="85">
        <v>488.12296</v>
      </c>
      <c r="D55" s="85"/>
      <c r="E55" s="85">
        <v>1525.42738</v>
      </c>
      <c r="F55" s="85"/>
      <c r="G55" s="85"/>
      <c r="H55" s="135">
        <f t="shared" si="11"/>
        <v>-1525.42738</v>
      </c>
      <c r="I55" s="93">
        <f t="shared" si="10"/>
        <v>0</v>
      </c>
      <c r="J55" s="93">
        <f t="shared" si="8"/>
        <v>0</v>
      </c>
      <c r="K55" s="85"/>
      <c r="L55" s="85"/>
      <c r="M55" s="98" t="e">
        <f t="shared" si="6"/>
        <v>#DIV/0!</v>
      </c>
      <c r="N55" s="98" t="e">
        <f t="shared" si="6"/>
        <v>#DIV/0!</v>
      </c>
    </row>
    <row r="56" spans="1:14" s="100" customFormat="1" ht="18" customHeight="1">
      <c r="A56" s="101" t="s">
        <v>124</v>
      </c>
      <c r="B56" s="64">
        <v>455.52308</v>
      </c>
      <c r="C56" s="65">
        <v>528.812</v>
      </c>
      <c r="D56" s="65"/>
      <c r="E56" s="65">
        <v>622.82677</v>
      </c>
      <c r="F56" s="96"/>
      <c r="G56" s="65"/>
      <c r="H56" s="67">
        <f t="shared" si="11"/>
        <v>-622.82677</v>
      </c>
      <c r="I56" s="93">
        <f t="shared" si="10"/>
        <v>0</v>
      </c>
      <c r="J56" s="93">
        <f t="shared" si="8"/>
        <v>0</v>
      </c>
      <c r="K56" s="85"/>
      <c r="L56" s="85"/>
      <c r="M56" s="98" t="e">
        <f t="shared" si="6"/>
        <v>#DIV/0!</v>
      </c>
      <c r="N56" s="98" t="e">
        <f t="shared" si="6"/>
        <v>#DIV/0!</v>
      </c>
    </row>
    <row r="57" spans="1:14" ht="33" customHeight="1">
      <c r="A57" s="63" t="s">
        <v>123</v>
      </c>
      <c r="B57" s="68" t="e">
        <f>B38/B7</f>
        <v>#DIV/0!</v>
      </c>
      <c r="C57" s="68" t="e">
        <f>C38/C7</f>
        <v>#DIV/0!</v>
      </c>
      <c r="D57" s="68"/>
      <c r="E57" s="68" t="e">
        <f>E38/E7</f>
        <v>#DIV/0!</v>
      </c>
      <c r="F57" s="68" t="e">
        <f>F38/F7</f>
        <v>#DIV/0!</v>
      </c>
      <c r="G57" s="68" t="e">
        <f>G38/G7</f>
        <v>#DIV/0!</v>
      </c>
      <c r="H57" s="102" t="e">
        <f t="shared" si="11"/>
        <v>#DIV/0!</v>
      </c>
      <c r="I57" s="68" t="e">
        <f t="shared" si="10"/>
        <v>#DIV/0!</v>
      </c>
      <c r="J57" s="68" t="e">
        <f t="shared" si="8"/>
        <v>#DIV/0!</v>
      </c>
      <c r="K57" s="68" t="e">
        <f>K38/K7</f>
        <v>#DIV/0!</v>
      </c>
      <c r="L57" s="68" t="e">
        <f>L38/L7</f>
        <v>#DIV/0!</v>
      </c>
      <c r="M57" s="68" t="e">
        <f t="shared" si="6"/>
        <v>#DIV/0!</v>
      </c>
      <c r="N57" s="68" t="e">
        <f t="shared" si="6"/>
        <v>#DIV/0!</v>
      </c>
    </row>
    <row r="58" spans="1:14" ht="18" customHeight="1">
      <c r="A58" s="63" t="s">
        <v>73</v>
      </c>
      <c r="B58" s="68" t="e">
        <f>B39/B7</f>
        <v>#DIV/0!</v>
      </c>
      <c r="C58" s="68" t="e">
        <f>C39/C7</f>
        <v>#DIV/0!</v>
      </c>
      <c r="D58" s="68"/>
      <c r="E58" s="68" t="e">
        <f>E39/E7</f>
        <v>#DIV/0!</v>
      </c>
      <c r="F58" s="68" t="e">
        <f>F39/F7</f>
        <v>#DIV/0!</v>
      </c>
      <c r="G58" s="68" t="e">
        <f>G39/G7</f>
        <v>#DIV/0!</v>
      </c>
      <c r="H58" s="102" t="e">
        <f t="shared" si="11"/>
        <v>#DIV/0!</v>
      </c>
      <c r="I58" s="68" t="e">
        <f t="shared" si="10"/>
        <v>#DIV/0!</v>
      </c>
      <c r="J58" s="68" t="e">
        <f t="shared" si="8"/>
        <v>#DIV/0!</v>
      </c>
      <c r="K58" s="68" t="e">
        <f>K39/K7</f>
        <v>#DIV/0!</v>
      </c>
      <c r="L58" s="68" t="e">
        <f>L39/L7</f>
        <v>#DIV/0!</v>
      </c>
      <c r="M58" s="68" t="e">
        <f t="shared" si="6"/>
        <v>#DIV/0!</v>
      </c>
      <c r="N58" s="68" t="e">
        <f t="shared" si="6"/>
        <v>#DIV/0!</v>
      </c>
    </row>
    <row r="59" spans="1:14" s="82" customFormat="1" ht="30" customHeight="1">
      <c r="A59" s="57" t="s">
        <v>74</v>
      </c>
      <c r="B59" s="58">
        <f>B60+B61+B62+B65+B66+B67+B63+B64</f>
        <v>11182.98363</v>
      </c>
      <c r="C59" s="58">
        <f>C60+C61+C62+C65+C66+C67+C63</f>
        <v>9211.411720000002</v>
      </c>
      <c r="D59" s="58">
        <f>D60+D61+D62+D65+D66+D67+D63</f>
        <v>0</v>
      </c>
      <c r="E59" s="58">
        <f>E60+E61+E62+E65+E66+E67+E63</f>
        <v>11665.564609999998</v>
      </c>
      <c r="F59" s="58">
        <f>F60+F61+F62+F65+F66+F67</f>
        <v>0</v>
      </c>
      <c r="G59" s="58">
        <f>G60+G61+G62+G65+G66+G67</f>
        <v>0</v>
      </c>
      <c r="H59" s="60">
        <f t="shared" si="11"/>
        <v>-11665.564609999998</v>
      </c>
      <c r="I59" s="61">
        <f t="shared" si="10"/>
        <v>0</v>
      </c>
      <c r="J59" s="61">
        <f t="shared" si="8"/>
        <v>0</v>
      </c>
      <c r="K59" s="58">
        <f>K60+K61+K62+K65+K66+K67</f>
        <v>0</v>
      </c>
      <c r="L59" s="58">
        <f>L60+L61+L62+L65+L66+L67</f>
        <v>0</v>
      </c>
      <c r="M59" s="61" t="e">
        <f t="shared" si="6"/>
        <v>#DIV/0!</v>
      </c>
      <c r="N59" s="61" t="e">
        <f t="shared" si="6"/>
        <v>#DIV/0!</v>
      </c>
    </row>
    <row r="60" spans="1:14" s="100" customFormat="1" ht="23.25" customHeight="1">
      <c r="A60" s="63" t="s">
        <v>125</v>
      </c>
      <c r="B60" s="64">
        <v>589.73225</v>
      </c>
      <c r="C60" s="65"/>
      <c r="D60" s="65"/>
      <c r="E60" s="65"/>
      <c r="F60" s="96"/>
      <c r="G60" s="65"/>
      <c r="H60" s="67">
        <f t="shared" si="11"/>
        <v>0</v>
      </c>
      <c r="I60" s="93">
        <f t="shared" si="10"/>
        <v>0</v>
      </c>
      <c r="J60" s="93">
        <f t="shared" si="8"/>
        <v>0</v>
      </c>
      <c r="K60" s="85"/>
      <c r="L60" s="85"/>
      <c r="M60" s="98" t="e">
        <f t="shared" si="6"/>
        <v>#DIV/0!</v>
      </c>
      <c r="N60" s="98" t="e">
        <f t="shared" si="6"/>
        <v>#DIV/0!</v>
      </c>
    </row>
    <row r="61" spans="1:14" s="100" customFormat="1" ht="18" customHeight="1">
      <c r="A61" s="63" t="s">
        <v>117</v>
      </c>
      <c r="B61" s="64">
        <v>66.6</v>
      </c>
      <c r="C61" s="65">
        <v>104</v>
      </c>
      <c r="D61" s="65"/>
      <c r="E61" s="65">
        <v>112.77</v>
      </c>
      <c r="F61" s="96"/>
      <c r="G61" s="65"/>
      <c r="H61" s="67">
        <f>G61-E61</f>
        <v>-112.77</v>
      </c>
      <c r="I61" s="93">
        <f t="shared" si="10"/>
        <v>0</v>
      </c>
      <c r="J61" s="93">
        <f t="shared" si="8"/>
        <v>0</v>
      </c>
      <c r="K61" s="85"/>
      <c r="L61" s="85"/>
      <c r="M61" s="98" t="e">
        <f t="shared" si="6"/>
        <v>#DIV/0!</v>
      </c>
      <c r="N61" s="98" t="e">
        <f t="shared" si="6"/>
        <v>#DIV/0!</v>
      </c>
    </row>
    <row r="62" spans="1:14" s="100" customFormat="1" ht="30.75" customHeight="1">
      <c r="A62" s="63" t="s">
        <v>126</v>
      </c>
      <c r="B62" s="64">
        <v>0</v>
      </c>
      <c r="C62" s="65"/>
      <c r="D62" s="65"/>
      <c r="E62" s="65"/>
      <c r="F62" s="96"/>
      <c r="G62" s="65"/>
      <c r="H62" s="67">
        <f>G62-E62</f>
        <v>0</v>
      </c>
      <c r="I62" s="93" t="e">
        <f t="shared" si="10"/>
        <v>#DIV/0!</v>
      </c>
      <c r="J62" s="93" t="e">
        <f t="shared" si="8"/>
        <v>#DIV/0!</v>
      </c>
      <c r="K62" s="85"/>
      <c r="L62" s="85"/>
      <c r="M62" s="98" t="e">
        <f t="shared" si="6"/>
        <v>#DIV/0!</v>
      </c>
      <c r="N62" s="98" t="e">
        <f t="shared" si="6"/>
        <v>#DIV/0!</v>
      </c>
    </row>
    <row r="63" spans="1:14" s="100" customFormat="1" ht="21.75" customHeight="1">
      <c r="A63" s="63" t="s">
        <v>127</v>
      </c>
      <c r="B63" s="64">
        <v>2664.77532</v>
      </c>
      <c r="C63" s="65">
        <v>845.67</v>
      </c>
      <c r="D63" s="65"/>
      <c r="E63" s="65">
        <v>1630.79</v>
      </c>
      <c r="F63" s="96"/>
      <c r="G63" s="65"/>
      <c r="H63" s="67">
        <f>G63-E63</f>
        <v>-1630.79</v>
      </c>
      <c r="I63" s="93">
        <f t="shared" si="10"/>
        <v>0</v>
      </c>
      <c r="J63" s="93">
        <f t="shared" si="8"/>
        <v>0</v>
      </c>
      <c r="K63" s="85"/>
      <c r="L63" s="85"/>
      <c r="M63" s="98" t="e">
        <f t="shared" si="6"/>
        <v>#DIV/0!</v>
      </c>
      <c r="N63" s="98" t="e">
        <f t="shared" si="6"/>
        <v>#DIV/0!</v>
      </c>
    </row>
    <row r="64" spans="1:14" s="100" customFormat="1" ht="29.25" customHeight="1">
      <c r="A64" s="63" t="s">
        <v>129</v>
      </c>
      <c r="B64" s="64">
        <v>738.9</v>
      </c>
      <c r="C64" s="65"/>
      <c r="D64" s="65"/>
      <c r="E64" s="65"/>
      <c r="F64" s="96"/>
      <c r="G64" s="65"/>
      <c r="H64" s="67">
        <f>G64-E64</f>
        <v>0</v>
      </c>
      <c r="I64" s="93">
        <f t="shared" si="10"/>
        <v>0</v>
      </c>
      <c r="J64" s="93">
        <f t="shared" si="8"/>
        <v>0</v>
      </c>
      <c r="K64" s="85"/>
      <c r="L64" s="85"/>
      <c r="M64" s="98" t="e">
        <f t="shared" si="6"/>
        <v>#DIV/0!</v>
      </c>
      <c r="N64" s="98" t="e">
        <f t="shared" si="6"/>
        <v>#DIV/0!</v>
      </c>
    </row>
    <row r="65" spans="1:14" s="100" customFormat="1" ht="31.5" customHeight="1">
      <c r="A65" s="63" t="s">
        <v>118</v>
      </c>
      <c r="B65" s="64">
        <f>1440.86972-0.088-40.863-41.33558</f>
        <v>1358.58314</v>
      </c>
      <c r="C65" s="65">
        <v>1143</v>
      </c>
      <c r="D65" s="65"/>
      <c r="E65" s="65">
        <v>1379.253</v>
      </c>
      <c r="F65" s="96"/>
      <c r="G65" s="65"/>
      <c r="H65" s="67">
        <f>G65-E65</f>
        <v>-1379.253</v>
      </c>
      <c r="I65" s="93">
        <f t="shared" si="10"/>
        <v>0</v>
      </c>
      <c r="J65" s="93">
        <f t="shared" si="8"/>
        <v>0</v>
      </c>
      <c r="K65" s="85"/>
      <c r="L65" s="85"/>
      <c r="M65" s="98" t="e">
        <f t="shared" si="6"/>
        <v>#DIV/0!</v>
      </c>
      <c r="N65" s="98" t="e">
        <f t="shared" si="6"/>
        <v>#DIV/0!</v>
      </c>
    </row>
    <row r="66" spans="1:14" s="100" customFormat="1" ht="50.25" customHeight="1">
      <c r="A66" s="63" t="s">
        <v>119</v>
      </c>
      <c r="B66" s="64"/>
      <c r="C66" s="65"/>
      <c r="D66" s="65"/>
      <c r="E66" s="65"/>
      <c r="F66" s="96"/>
      <c r="G66" s="65"/>
      <c r="H66" s="67">
        <f t="shared" si="11"/>
        <v>0</v>
      </c>
      <c r="I66" s="93" t="e">
        <f t="shared" si="10"/>
        <v>#DIV/0!</v>
      </c>
      <c r="J66" s="93" t="e">
        <f t="shared" si="8"/>
        <v>#DIV/0!</v>
      </c>
      <c r="K66" s="85"/>
      <c r="L66" s="85"/>
      <c r="M66" s="98" t="e">
        <f t="shared" si="6"/>
        <v>#DIV/0!</v>
      </c>
      <c r="N66" s="98" t="e">
        <f t="shared" si="6"/>
        <v>#DIV/0!</v>
      </c>
    </row>
    <row r="67" spans="1:14" s="100" customFormat="1" ht="18" customHeight="1">
      <c r="A67" s="63" t="s">
        <v>121</v>
      </c>
      <c r="B67" s="64">
        <f>B68+B69</f>
        <v>5764.39292</v>
      </c>
      <c r="C67" s="64">
        <f>C68+C69+C70</f>
        <v>7118.741720000001</v>
      </c>
      <c r="D67" s="65"/>
      <c r="E67" s="64">
        <f>E68+E69+E70</f>
        <v>8542.75161</v>
      </c>
      <c r="F67" s="96"/>
      <c r="G67" s="65"/>
      <c r="H67" s="67">
        <f t="shared" si="11"/>
        <v>-8542.75161</v>
      </c>
      <c r="I67" s="93">
        <f t="shared" si="10"/>
        <v>0</v>
      </c>
      <c r="J67" s="93">
        <f t="shared" si="8"/>
        <v>0</v>
      </c>
      <c r="K67" s="85"/>
      <c r="L67" s="85"/>
      <c r="M67" s="98" t="e">
        <f t="shared" si="6"/>
        <v>#DIV/0!</v>
      </c>
      <c r="N67" s="98" t="e">
        <f t="shared" si="6"/>
        <v>#DIV/0!</v>
      </c>
    </row>
    <row r="68" spans="1:14" s="99" customFormat="1" ht="14.25" customHeight="1">
      <c r="A68" s="94" t="s">
        <v>203</v>
      </c>
      <c r="B68" s="95">
        <f>5456.56244+11.6</f>
        <v>5468.16244</v>
      </c>
      <c r="C68" s="96">
        <f>6241.13737+18.3</f>
        <v>6259.437370000001</v>
      </c>
      <c r="D68" s="96"/>
      <c r="E68" s="96">
        <f>8296.98779-193</f>
        <v>8103.987789999999</v>
      </c>
      <c r="F68" s="96"/>
      <c r="G68" s="96"/>
      <c r="H68" s="97">
        <f t="shared" si="11"/>
        <v>-8103.987789999999</v>
      </c>
      <c r="I68" s="98">
        <f t="shared" si="10"/>
        <v>0</v>
      </c>
      <c r="J68" s="98">
        <f t="shared" si="8"/>
        <v>0</v>
      </c>
      <c r="K68" s="96"/>
      <c r="L68" s="96"/>
      <c r="M68" s="68" t="e">
        <f t="shared" si="6"/>
        <v>#DIV/0!</v>
      </c>
      <c r="N68" s="68" t="e">
        <f t="shared" si="6"/>
        <v>#DIV/0!</v>
      </c>
    </row>
    <row r="69" spans="1:14" s="99" customFormat="1" ht="14.25" customHeight="1">
      <c r="A69" s="94" t="s">
        <v>202</v>
      </c>
      <c r="B69" s="95">
        <v>296.23048</v>
      </c>
      <c r="C69" s="96"/>
      <c r="D69" s="96"/>
      <c r="E69" s="96"/>
      <c r="F69" s="96"/>
      <c r="G69" s="96"/>
      <c r="H69" s="97"/>
      <c r="I69" s="98"/>
      <c r="J69" s="98"/>
      <c r="K69" s="96"/>
      <c r="L69" s="96"/>
      <c r="M69" s="68"/>
      <c r="N69" s="68"/>
    </row>
    <row r="70" spans="1:14" s="99" customFormat="1" ht="24.75" customHeight="1">
      <c r="A70" s="94" t="s">
        <v>209</v>
      </c>
      <c r="B70" s="95"/>
      <c r="C70" s="96">
        <v>859.30435</v>
      </c>
      <c r="D70" s="96"/>
      <c r="E70" s="96">
        <v>438.76382</v>
      </c>
      <c r="F70" s="96"/>
      <c r="G70" s="96"/>
      <c r="H70" s="97"/>
      <c r="I70" s="98"/>
      <c r="J70" s="98"/>
      <c r="K70" s="96"/>
      <c r="L70" s="96"/>
      <c r="M70" s="68"/>
      <c r="N70" s="68"/>
    </row>
    <row r="71" spans="1:37" ht="24.75" customHeight="1">
      <c r="A71" s="103" t="s">
        <v>75</v>
      </c>
      <c r="B71" s="104">
        <f>SUM(B73:B90)</f>
        <v>4494.18197</v>
      </c>
      <c r="C71" s="104">
        <f>SUM(C73:C91)</f>
        <v>2190.218</v>
      </c>
      <c r="D71" s="104">
        <f>SUM(D73:D90)</f>
        <v>0</v>
      </c>
      <c r="E71" s="104">
        <f>SUM(E73:E90)</f>
        <v>5436.4543699999995</v>
      </c>
      <c r="F71" s="106"/>
      <c r="G71" s="105"/>
      <c r="H71" s="107">
        <f>G71-E71</f>
        <v>-5436.4543699999995</v>
      </c>
      <c r="I71" s="108">
        <f t="shared" si="10"/>
        <v>0</v>
      </c>
      <c r="J71" s="108">
        <f t="shared" si="8"/>
        <v>0</v>
      </c>
      <c r="K71" s="106"/>
      <c r="L71" s="104">
        <f>SUM(L73:L90)</f>
        <v>2975.46</v>
      </c>
      <c r="M71" s="109" t="e">
        <f t="shared" si="6"/>
        <v>#DIV/0!</v>
      </c>
      <c r="N71" s="109" t="e">
        <f t="shared" si="6"/>
        <v>#DIV/0!</v>
      </c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</row>
    <row r="72" spans="1:37" ht="42.75" customHeight="1">
      <c r="A72" s="111" t="s">
        <v>76</v>
      </c>
      <c r="B72" s="64"/>
      <c r="C72" s="65"/>
      <c r="D72" s="65"/>
      <c r="E72" s="65"/>
      <c r="F72" s="85"/>
      <c r="G72" s="65"/>
      <c r="H72" s="67">
        <f t="shared" si="11"/>
        <v>0</v>
      </c>
      <c r="I72" s="93" t="e">
        <f t="shared" si="10"/>
        <v>#DIV/0!</v>
      </c>
      <c r="J72" s="93" t="e">
        <f t="shared" si="8"/>
        <v>#DIV/0!</v>
      </c>
      <c r="K72" s="85"/>
      <c r="L72" s="85"/>
      <c r="M72" s="68" t="e">
        <f t="shared" si="6"/>
        <v>#DIV/0!</v>
      </c>
      <c r="N72" s="68" t="e">
        <f t="shared" si="6"/>
        <v>#DIV/0!</v>
      </c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</row>
    <row r="73" spans="1:37" ht="106.5" customHeight="1">
      <c r="A73" s="63" t="s">
        <v>182</v>
      </c>
      <c r="B73" s="64"/>
      <c r="C73" s="65"/>
      <c r="D73" s="65"/>
      <c r="E73" s="65"/>
      <c r="F73" s="85"/>
      <c r="G73" s="65"/>
      <c r="H73" s="67">
        <f t="shared" si="11"/>
        <v>0</v>
      </c>
      <c r="I73" s="93" t="e">
        <f t="shared" si="10"/>
        <v>#DIV/0!</v>
      </c>
      <c r="J73" s="93" t="e">
        <f t="shared" si="8"/>
        <v>#DIV/0!</v>
      </c>
      <c r="K73" s="85"/>
      <c r="L73" s="85">
        <v>63.48</v>
      </c>
      <c r="M73" s="68"/>
      <c r="N73" s="68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</row>
    <row r="74" spans="1:37" ht="61.5" customHeight="1">
      <c r="A74" s="63" t="s">
        <v>183</v>
      </c>
      <c r="B74" s="64"/>
      <c r="C74" s="65"/>
      <c r="D74" s="65"/>
      <c r="E74" s="65"/>
      <c r="F74" s="85"/>
      <c r="G74" s="65"/>
      <c r="H74" s="67"/>
      <c r="I74" s="93"/>
      <c r="J74" s="93"/>
      <c r="K74" s="85"/>
      <c r="L74" s="85">
        <v>20</v>
      </c>
      <c r="M74" s="68"/>
      <c r="N74" s="68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</row>
    <row r="75" spans="1:37" ht="51" customHeight="1">
      <c r="A75" s="63" t="s">
        <v>184</v>
      </c>
      <c r="B75" s="64">
        <v>138.29731</v>
      </c>
      <c r="C75" s="65">
        <v>170.768</v>
      </c>
      <c r="D75" s="65"/>
      <c r="E75" s="65">
        <v>170.768</v>
      </c>
      <c r="F75" s="85"/>
      <c r="G75" s="65"/>
      <c r="H75" s="67">
        <f t="shared" si="11"/>
        <v>-170.768</v>
      </c>
      <c r="I75" s="93">
        <f t="shared" si="10"/>
        <v>0</v>
      </c>
      <c r="J75" s="93">
        <f t="shared" si="8"/>
        <v>0</v>
      </c>
      <c r="K75" s="85"/>
      <c r="L75" s="85">
        <v>824.95</v>
      </c>
      <c r="M75" s="68"/>
      <c r="N75" s="68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</row>
    <row r="76" spans="1:37" ht="110.25" customHeight="1">
      <c r="A76" s="63" t="s">
        <v>185</v>
      </c>
      <c r="B76" s="64">
        <v>13.2</v>
      </c>
      <c r="C76" s="65">
        <v>25.02</v>
      </c>
      <c r="D76" s="65"/>
      <c r="E76" s="65">
        <v>25.02</v>
      </c>
      <c r="F76" s="85"/>
      <c r="G76" s="65"/>
      <c r="H76" s="67">
        <f t="shared" si="11"/>
        <v>-25.02</v>
      </c>
      <c r="I76" s="93">
        <f t="shared" si="10"/>
        <v>0</v>
      </c>
      <c r="J76" s="93">
        <f t="shared" si="8"/>
        <v>0</v>
      </c>
      <c r="K76" s="85"/>
      <c r="L76" s="85">
        <v>53.9</v>
      </c>
      <c r="M76" s="68"/>
      <c r="N76" s="68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</row>
    <row r="77" spans="1:37" ht="126" customHeight="1">
      <c r="A77" s="63" t="s">
        <v>194</v>
      </c>
      <c r="B77" s="64"/>
      <c r="C77" s="65"/>
      <c r="D77" s="65"/>
      <c r="E77" s="65">
        <v>1445.83316</v>
      </c>
      <c r="F77" s="85"/>
      <c r="G77" s="65"/>
      <c r="H77" s="67">
        <f t="shared" si="11"/>
        <v>-1445.83316</v>
      </c>
      <c r="I77" s="93"/>
      <c r="J77" s="93"/>
      <c r="K77" s="85"/>
      <c r="L77" s="85"/>
      <c r="M77" s="68"/>
      <c r="N77" s="68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</row>
    <row r="78" spans="1:37" ht="81" customHeight="1">
      <c r="A78" s="63" t="s">
        <v>186</v>
      </c>
      <c r="B78" s="64"/>
      <c r="C78" s="65"/>
      <c r="D78" s="65"/>
      <c r="E78" s="65">
        <v>108</v>
      </c>
      <c r="F78" s="85"/>
      <c r="G78" s="65"/>
      <c r="H78" s="67">
        <f t="shared" si="11"/>
        <v>-108</v>
      </c>
      <c r="I78" s="93" t="e">
        <f t="shared" si="10"/>
        <v>#DIV/0!</v>
      </c>
      <c r="J78" s="93" t="e">
        <f t="shared" si="8"/>
        <v>#DIV/0!</v>
      </c>
      <c r="K78" s="85"/>
      <c r="L78" s="85">
        <v>30</v>
      </c>
      <c r="M78" s="68"/>
      <c r="N78" s="68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</row>
    <row r="79" spans="1:37" ht="48" customHeight="1">
      <c r="A79" s="63" t="s">
        <v>187</v>
      </c>
      <c r="B79" s="64">
        <v>50.5056</v>
      </c>
      <c r="C79" s="65"/>
      <c r="D79" s="65"/>
      <c r="E79" s="65"/>
      <c r="F79" s="85"/>
      <c r="G79" s="65"/>
      <c r="H79" s="67"/>
      <c r="I79" s="93">
        <f t="shared" si="10"/>
        <v>0</v>
      </c>
      <c r="J79" s="93">
        <f t="shared" si="8"/>
        <v>0</v>
      </c>
      <c r="K79" s="85"/>
      <c r="L79" s="85"/>
      <c r="M79" s="68"/>
      <c r="N79" s="68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</row>
    <row r="80" spans="1:37" ht="32.25" customHeight="1">
      <c r="A80" s="63" t="s">
        <v>195</v>
      </c>
      <c r="B80" s="64"/>
      <c r="C80" s="65"/>
      <c r="D80" s="65"/>
      <c r="E80" s="65"/>
      <c r="F80" s="85"/>
      <c r="G80" s="65"/>
      <c r="H80" s="67"/>
      <c r="I80" s="93"/>
      <c r="J80" s="93"/>
      <c r="K80" s="85"/>
      <c r="L80" s="85"/>
      <c r="M80" s="68"/>
      <c r="N80" s="68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</row>
    <row r="81" spans="1:37" ht="82.5" customHeight="1">
      <c r="A81" s="63" t="s">
        <v>188</v>
      </c>
      <c r="B81" s="64">
        <v>0.088</v>
      </c>
      <c r="C81" s="65"/>
      <c r="D81" s="65"/>
      <c r="E81" s="65"/>
      <c r="F81" s="85"/>
      <c r="G81" s="65"/>
      <c r="H81" s="67"/>
      <c r="I81" s="93">
        <f t="shared" si="10"/>
        <v>0</v>
      </c>
      <c r="J81" s="93">
        <f t="shared" si="8"/>
        <v>0</v>
      </c>
      <c r="K81" s="85"/>
      <c r="L81" s="85"/>
      <c r="M81" s="68"/>
      <c r="N81" s="68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</row>
    <row r="82" spans="1:14" s="99" customFormat="1" ht="144.75" customHeight="1">
      <c r="A82" s="63" t="s">
        <v>189</v>
      </c>
      <c r="B82" s="95">
        <v>250</v>
      </c>
      <c r="C82" s="96">
        <v>250</v>
      </c>
      <c r="D82" s="96"/>
      <c r="E82" s="96">
        <v>250</v>
      </c>
      <c r="F82" s="96"/>
      <c r="G82" s="96"/>
      <c r="H82" s="97">
        <f t="shared" si="11"/>
        <v>-250</v>
      </c>
      <c r="I82" s="98">
        <f t="shared" si="10"/>
        <v>0</v>
      </c>
      <c r="J82" s="98">
        <f t="shared" si="8"/>
        <v>0</v>
      </c>
      <c r="K82" s="96"/>
      <c r="L82" s="96">
        <v>250</v>
      </c>
      <c r="M82" s="68" t="e">
        <f t="shared" si="6"/>
        <v>#DIV/0!</v>
      </c>
      <c r="N82" s="68" t="e">
        <f t="shared" si="6"/>
        <v>#DIV/0!</v>
      </c>
    </row>
    <row r="83" spans="1:14" s="99" customFormat="1" ht="93" customHeight="1">
      <c r="A83" s="63" t="s">
        <v>190</v>
      </c>
      <c r="B83" s="95">
        <v>120.94612</v>
      </c>
      <c r="C83" s="96">
        <v>411.3</v>
      </c>
      <c r="D83" s="96"/>
      <c r="E83" s="96"/>
      <c r="F83" s="96"/>
      <c r="G83" s="96"/>
      <c r="H83" s="97"/>
      <c r="I83" s="98">
        <f t="shared" si="10"/>
        <v>0</v>
      </c>
      <c r="J83" s="98">
        <f t="shared" si="8"/>
        <v>0</v>
      </c>
      <c r="K83" s="96"/>
      <c r="L83" s="96">
        <v>500</v>
      </c>
      <c r="M83" s="68"/>
      <c r="N83" s="68"/>
    </row>
    <row r="84" spans="1:14" s="99" customFormat="1" ht="64.5" customHeight="1">
      <c r="A84" s="63" t="s">
        <v>196</v>
      </c>
      <c r="B84" s="95"/>
      <c r="C84" s="96"/>
      <c r="D84" s="96"/>
      <c r="E84" s="96">
        <v>630</v>
      </c>
      <c r="F84" s="96"/>
      <c r="G84" s="96"/>
      <c r="H84" s="97"/>
      <c r="I84" s="98"/>
      <c r="J84" s="98"/>
      <c r="K84" s="96"/>
      <c r="L84" s="96"/>
      <c r="M84" s="68"/>
      <c r="N84" s="68"/>
    </row>
    <row r="85" spans="1:14" s="99" customFormat="1" ht="64.5" customHeight="1">
      <c r="A85" s="63" t="s">
        <v>197</v>
      </c>
      <c r="B85" s="95"/>
      <c r="C85" s="96"/>
      <c r="D85" s="96"/>
      <c r="E85" s="96">
        <v>0.1</v>
      </c>
      <c r="F85" s="96"/>
      <c r="G85" s="96"/>
      <c r="H85" s="97"/>
      <c r="I85" s="98"/>
      <c r="J85" s="98"/>
      <c r="K85" s="96"/>
      <c r="L85" s="96"/>
      <c r="M85" s="68"/>
      <c r="N85" s="68"/>
    </row>
    <row r="86" spans="1:14" s="99" customFormat="1" ht="50.25" customHeight="1">
      <c r="A86" s="63" t="s">
        <v>200</v>
      </c>
      <c r="B86" s="95"/>
      <c r="C86" s="96"/>
      <c r="D86" s="96"/>
      <c r="E86" s="176">
        <f>193</f>
        <v>193</v>
      </c>
      <c r="F86" s="96"/>
      <c r="G86" s="96"/>
      <c r="H86" s="97"/>
      <c r="I86" s="98"/>
      <c r="J86" s="98"/>
      <c r="K86" s="96"/>
      <c r="L86" s="96"/>
      <c r="M86" s="68"/>
      <c r="N86" s="68"/>
    </row>
    <row r="87" spans="1:14" s="99" customFormat="1" ht="46.5" customHeight="1">
      <c r="A87" s="63" t="s">
        <v>191</v>
      </c>
      <c r="B87" s="95">
        <v>933.12654</v>
      </c>
      <c r="C87" s="96">
        <v>933.13</v>
      </c>
      <c r="D87" s="96"/>
      <c r="E87" s="96">
        <v>1006.69199</v>
      </c>
      <c r="F87" s="96"/>
      <c r="G87" s="96"/>
      <c r="H87" s="97"/>
      <c r="I87" s="98">
        <f t="shared" si="10"/>
        <v>0</v>
      </c>
      <c r="J87" s="98">
        <f t="shared" si="8"/>
        <v>0</v>
      </c>
      <c r="K87" s="96"/>
      <c r="L87" s="96">
        <v>933.13</v>
      </c>
      <c r="M87" s="68"/>
      <c r="N87" s="68"/>
    </row>
    <row r="88" spans="1:14" s="99" customFormat="1" ht="59.25" customHeight="1">
      <c r="A88" s="63" t="s">
        <v>199</v>
      </c>
      <c r="B88" s="95">
        <v>2290.27559</v>
      </c>
      <c r="C88" s="96"/>
      <c r="D88" s="96"/>
      <c r="E88" s="96">
        <v>732.05</v>
      </c>
      <c r="F88" s="96"/>
      <c r="G88" s="96"/>
      <c r="H88" s="97"/>
      <c r="I88" s="98">
        <f t="shared" si="10"/>
        <v>0</v>
      </c>
      <c r="J88" s="98">
        <f t="shared" si="8"/>
        <v>0</v>
      </c>
      <c r="K88" s="96"/>
      <c r="L88" s="96"/>
      <c r="M88" s="68"/>
      <c r="N88" s="68"/>
    </row>
    <row r="89" spans="1:14" s="99" customFormat="1" ht="108.75" customHeight="1">
      <c r="A89" s="63" t="s">
        <v>192</v>
      </c>
      <c r="B89" s="95">
        <v>17.29688</v>
      </c>
      <c r="C89" s="96"/>
      <c r="D89" s="96"/>
      <c r="E89" s="96"/>
      <c r="F89" s="96"/>
      <c r="G89" s="96"/>
      <c r="H89" s="97"/>
      <c r="I89" s="98">
        <f t="shared" si="10"/>
        <v>0</v>
      </c>
      <c r="J89" s="98">
        <f t="shared" si="8"/>
        <v>0</v>
      </c>
      <c r="K89" s="96"/>
      <c r="L89" s="96"/>
      <c r="M89" s="68"/>
      <c r="N89" s="68"/>
    </row>
    <row r="90" spans="1:14" s="99" customFormat="1" ht="106.5" customHeight="1">
      <c r="A90" s="63" t="s">
        <v>193</v>
      </c>
      <c r="B90" s="95">
        <v>680.44593</v>
      </c>
      <c r="C90" s="96">
        <v>400</v>
      </c>
      <c r="D90" s="96"/>
      <c r="E90" s="96">
        <v>874.99122</v>
      </c>
      <c r="F90" s="96"/>
      <c r="G90" s="96"/>
      <c r="H90" s="97"/>
      <c r="I90" s="98">
        <f t="shared" si="10"/>
        <v>0</v>
      </c>
      <c r="J90" s="98">
        <f t="shared" si="8"/>
        <v>0</v>
      </c>
      <c r="K90" s="96"/>
      <c r="L90" s="96">
        <v>300</v>
      </c>
      <c r="M90" s="68"/>
      <c r="N90" s="68"/>
    </row>
    <row r="91" spans="1:14" s="99" customFormat="1" ht="91.5" customHeight="1">
      <c r="A91" s="63" t="s">
        <v>198</v>
      </c>
      <c r="B91" s="95"/>
      <c r="C91" s="96"/>
      <c r="D91" s="96"/>
      <c r="E91" s="96"/>
      <c r="F91" s="96"/>
      <c r="G91" s="96"/>
      <c r="H91" s="97"/>
      <c r="I91" s="98"/>
      <c r="J91" s="98"/>
      <c r="K91" s="96"/>
      <c r="L91" s="96">
        <v>235</v>
      </c>
      <c r="M91" s="68"/>
      <c r="N91" s="68"/>
    </row>
    <row r="92" spans="1:37" ht="18.75" customHeight="1">
      <c r="A92" s="103" t="s">
        <v>132</v>
      </c>
      <c r="B92" s="104">
        <f>6384.78631-933.12654</f>
        <v>5451.65977</v>
      </c>
      <c r="C92" s="105">
        <v>5317.43429</v>
      </c>
      <c r="D92" s="105"/>
      <c r="E92" s="105">
        <v>4382.82429</v>
      </c>
      <c r="F92" s="106"/>
      <c r="G92" s="105"/>
      <c r="H92" s="107">
        <f t="shared" si="11"/>
        <v>-4382.82429</v>
      </c>
      <c r="I92" s="108">
        <f t="shared" si="10"/>
        <v>0</v>
      </c>
      <c r="J92" s="108">
        <f t="shared" si="8"/>
        <v>0</v>
      </c>
      <c r="K92" s="106"/>
      <c r="L92" s="106"/>
      <c r="M92" s="109" t="e">
        <f t="shared" si="6"/>
        <v>#DIV/0!</v>
      </c>
      <c r="N92" s="109" t="e">
        <f t="shared" si="6"/>
        <v>#DIV/0!</v>
      </c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</row>
    <row r="93" spans="1:37" ht="22.5" customHeight="1">
      <c r="A93" s="51" t="s">
        <v>15</v>
      </c>
      <c r="B93" s="52">
        <f>B7-B36</f>
        <v>-68686.22110000001</v>
      </c>
      <c r="C93" s="52">
        <f>C7-C36</f>
        <v>-64274.19435</v>
      </c>
      <c r="D93" s="52"/>
      <c r="E93" s="52">
        <f>E7-E36</f>
        <v>-70617.90837</v>
      </c>
      <c r="F93" s="52">
        <f>F7-F36</f>
        <v>0</v>
      </c>
      <c r="G93" s="52">
        <f>G7-G36</f>
        <v>0</v>
      </c>
      <c r="H93" s="52"/>
      <c r="I93" s="52"/>
      <c r="J93" s="52"/>
      <c r="K93" s="52">
        <f>K7-K36</f>
        <v>0</v>
      </c>
      <c r="L93" s="52">
        <f>L7-L36</f>
        <v>-2975.46</v>
      </c>
      <c r="M93" s="112"/>
      <c r="N93" s="112"/>
      <c r="O93" s="113"/>
      <c r="P93" s="113"/>
      <c r="Q93" s="113"/>
      <c r="R93" s="113"/>
      <c r="S93" s="113"/>
      <c r="T93" s="113"/>
      <c r="U93" s="113"/>
      <c r="V93" s="113"/>
      <c r="W93" s="113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</row>
    <row r="94" spans="1:14" s="115" customFormat="1" ht="17.25" customHeight="1">
      <c r="A94" s="93" t="s">
        <v>29</v>
      </c>
      <c r="B94" s="85" t="e">
        <f>(B93-B96)/(B8-B25)</f>
        <v>#DIV/0!</v>
      </c>
      <c r="C94" s="85" t="e">
        <f>(C93-C96)/(C8-C25)</f>
        <v>#DIV/0!</v>
      </c>
      <c r="D94" s="66" t="s">
        <v>3</v>
      </c>
      <c r="E94" s="85" t="e">
        <f>(E93-E96)/(E8-E25)</f>
        <v>#DIV/0!</v>
      </c>
      <c r="F94" s="85" t="e">
        <f>(F93-F96)/(F8-F25)</f>
        <v>#DIV/0!</v>
      </c>
      <c r="G94" s="85" t="e">
        <f>(G93-G96)/(G8-G25)</f>
        <v>#DIV/0!</v>
      </c>
      <c r="H94" s="85"/>
      <c r="I94" s="85"/>
      <c r="J94" s="85"/>
      <c r="K94" s="85" t="e">
        <f>(K93-K96)/(K8-K25)</f>
        <v>#DIV/0!</v>
      </c>
      <c r="L94" s="85" t="e">
        <f>(L93-L96)/(L8-L25)</f>
        <v>#DIV/0!</v>
      </c>
      <c r="M94" s="114"/>
      <c r="N94" s="114"/>
    </row>
    <row r="95" spans="1:14" ht="24" customHeight="1">
      <c r="A95" s="51" t="s">
        <v>30</v>
      </c>
      <c r="B95" s="52">
        <f>SUM(B96:B101)-B98</f>
        <v>0</v>
      </c>
      <c r="C95" s="52">
        <f>SUM(C96:C101)-C98</f>
        <v>0</v>
      </c>
      <c r="D95" s="52"/>
      <c r="E95" s="52">
        <f>SUM(E96:E101)-E98</f>
        <v>0</v>
      </c>
      <c r="F95" s="52">
        <f>SUM(F96:F101)-F98</f>
        <v>0</v>
      </c>
      <c r="G95" s="52">
        <f>SUM(G96:G101)-G98</f>
        <v>0</v>
      </c>
      <c r="H95" s="52"/>
      <c r="I95" s="52"/>
      <c r="J95" s="52"/>
      <c r="K95" s="52">
        <f>SUM(K96:K101)-K98</f>
        <v>0</v>
      </c>
      <c r="L95" s="52">
        <f>SUM(L96:L101)-L98</f>
        <v>0</v>
      </c>
      <c r="M95" s="112"/>
      <c r="N95" s="116"/>
    </row>
    <row r="96" spans="1:14" ht="17.25" customHeight="1">
      <c r="A96" s="63" t="s">
        <v>31</v>
      </c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117"/>
      <c r="N96" s="117"/>
    </row>
    <row r="97" spans="1:14" ht="17.25" customHeight="1">
      <c r="A97" s="63" t="s">
        <v>177</v>
      </c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117"/>
      <c r="N97" s="117"/>
    </row>
    <row r="98" spans="1:14" ht="36" customHeight="1">
      <c r="A98" s="63" t="s">
        <v>32</v>
      </c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117"/>
      <c r="N98" s="117"/>
    </row>
    <row r="99" spans="1:14" ht="14.25" customHeight="1">
      <c r="A99" s="118" t="s">
        <v>33</v>
      </c>
      <c r="B99" s="119"/>
      <c r="C99" s="120"/>
      <c r="D99" s="120"/>
      <c r="E99" s="120"/>
      <c r="F99" s="65"/>
      <c r="G99" s="120"/>
      <c r="H99" s="120"/>
      <c r="I99" s="65"/>
      <c r="J99" s="65"/>
      <c r="K99" s="65"/>
      <c r="L99" s="65"/>
      <c r="M99" s="117"/>
      <c r="N99" s="117"/>
    </row>
    <row r="100" spans="1:14" ht="14.25" customHeight="1">
      <c r="A100" s="118" t="s">
        <v>34</v>
      </c>
      <c r="B100" s="119"/>
      <c r="C100" s="120"/>
      <c r="D100" s="120"/>
      <c r="E100" s="120"/>
      <c r="F100" s="65"/>
      <c r="G100" s="65"/>
      <c r="H100" s="65"/>
      <c r="I100" s="65"/>
      <c r="J100" s="65"/>
      <c r="K100" s="65"/>
      <c r="L100" s="65"/>
      <c r="M100" s="117"/>
      <c r="N100" s="117"/>
    </row>
    <row r="101" spans="1:14" ht="14.25" customHeight="1">
      <c r="A101" s="118" t="s">
        <v>35</v>
      </c>
      <c r="B101" s="119"/>
      <c r="C101" s="120"/>
      <c r="D101" s="120"/>
      <c r="E101" s="120"/>
      <c r="F101" s="65"/>
      <c r="G101" s="65"/>
      <c r="H101" s="65"/>
      <c r="I101" s="65"/>
      <c r="J101" s="65"/>
      <c r="K101" s="65"/>
      <c r="L101" s="65"/>
      <c r="M101" s="117"/>
      <c r="N101" s="117"/>
    </row>
    <row r="102" spans="1:14" ht="27" customHeight="1">
      <c r="A102" s="118" t="s">
        <v>36</v>
      </c>
      <c r="B102" s="121"/>
      <c r="C102" s="120"/>
      <c r="D102" s="122"/>
      <c r="E102" s="122"/>
      <c r="F102" s="122"/>
      <c r="G102" s="122"/>
      <c r="H102" s="122"/>
      <c r="I102" s="65"/>
      <c r="J102" s="65"/>
      <c r="K102" s="65"/>
      <c r="L102" s="65"/>
      <c r="M102" s="117"/>
      <c r="N102" s="117"/>
    </row>
    <row r="103" spans="1:14" ht="15" customHeight="1">
      <c r="A103" s="51" t="s">
        <v>37</v>
      </c>
      <c r="B103" s="103"/>
      <c r="C103" s="53"/>
      <c r="D103" s="52"/>
      <c r="E103" s="52"/>
      <c r="F103" s="53"/>
      <c r="G103" s="52"/>
      <c r="H103" s="52"/>
      <c r="I103" s="53"/>
      <c r="J103" s="53"/>
      <c r="K103" s="52"/>
      <c r="L103" s="52"/>
      <c r="M103" s="112"/>
      <c r="N103" s="116"/>
    </row>
    <row r="104" spans="1:14" s="99" customFormat="1" ht="15" customHeight="1">
      <c r="A104" s="123" t="s">
        <v>25</v>
      </c>
      <c r="B104" s="124"/>
      <c r="C104" s="125"/>
      <c r="D104" s="126"/>
      <c r="E104" s="126"/>
      <c r="F104" s="125"/>
      <c r="G104" s="126"/>
      <c r="H104" s="126"/>
      <c r="I104" s="125"/>
      <c r="J104" s="125"/>
      <c r="K104" s="126"/>
      <c r="L104" s="126"/>
      <c r="M104" s="127"/>
      <c r="N104" s="128"/>
    </row>
    <row r="105" spans="1:14" ht="32.25" customHeight="1">
      <c r="A105" s="51" t="s">
        <v>178</v>
      </c>
      <c r="B105" s="103"/>
      <c r="C105" s="53"/>
      <c r="D105" s="53"/>
      <c r="E105" s="53"/>
      <c r="F105" s="53"/>
      <c r="G105" s="53"/>
      <c r="H105" s="53"/>
      <c r="I105" s="53"/>
      <c r="J105" s="53"/>
      <c r="K105" s="52"/>
      <c r="L105" s="52"/>
      <c r="M105" s="112"/>
      <c r="N105" s="116"/>
    </row>
    <row r="106" spans="1:14" ht="15" customHeight="1">
      <c r="A106" s="51" t="s">
        <v>38</v>
      </c>
      <c r="B106" s="103" t="e">
        <f aca="true" t="shared" si="13" ref="B106:G106">B7/B105</f>
        <v>#DIV/0!</v>
      </c>
      <c r="C106" s="103" t="e">
        <f t="shared" si="13"/>
        <v>#DIV/0!</v>
      </c>
      <c r="D106" s="103" t="e">
        <f t="shared" si="13"/>
        <v>#VALUE!</v>
      </c>
      <c r="E106" s="103" t="e">
        <f t="shared" si="13"/>
        <v>#DIV/0!</v>
      </c>
      <c r="F106" s="103" t="e">
        <f t="shared" si="13"/>
        <v>#DIV/0!</v>
      </c>
      <c r="G106" s="103" t="e">
        <f t="shared" si="13"/>
        <v>#DIV/0!</v>
      </c>
      <c r="H106" s="103"/>
      <c r="I106" s="103"/>
      <c r="J106" s="103"/>
      <c r="K106" s="103" t="e">
        <f>K7/K105</f>
        <v>#DIV/0!</v>
      </c>
      <c r="L106" s="103" t="e">
        <f>L7/L105</f>
        <v>#DIV/0!</v>
      </c>
      <c r="M106" s="103"/>
      <c r="N106" s="103"/>
    </row>
    <row r="107" spans="1:14" ht="15" customHeight="1">
      <c r="A107" s="51" t="s">
        <v>39</v>
      </c>
      <c r="B107" s="103" t="e">
        <f aca="true" t="shared" si="14" ref="B107:G107">B36/B105</f>
        <v>#DIV/0!</v>
      </c>
      <c r="C107" s="103" t="e">
        <f t="shared" si="14"/>
        <v>#DIV/0!</v>
      </c>
      <c r="D107" s="103" t="e">
        <f t="shared" si="14"/>
        <v>#DIV/0!</v>
      </c>
      <c r="E107" s="103" t="e">
        <f t="shared" si="14"/>
        <v>#DIV/0!</v>
      </c>
      <c r="F107" s="103" t="e">
        <f t="shared" si="14"/>
        <v>#DIV/0!</v>
      </c>
      <c r="G107" s="103" t="e">
        <f t="shared" si="14"/>
        <v>#DIV/0!</v>
      </c>
      <c r="H107" s="103"/>
      <c r="I107" s="103"/>
      <c r="J107" s="103"/>
      <c r="K107" s="103" t="e">
        <f>K36/K105</f>
        <v>#DIV/0!</v>
      </c>
      <c r="L107" s="103" t="e">
        <f>L36/L105</f>
        <v>#DIV/0!</v>
      </c>
      <c r="M107" s="103"/>
      <c r="N107" s="103"/>
    </row>
    <row r="108" spans="1:14" ht="45.75" customHeight="1">
      <c r="A108" s="51" t="s">
        <v>40</v>
      </c>
      <c r="B108" s="103"/>
      <c r="C108" s="129"/>
      <c r="D108" s="130"/>
      <c r="E108" s="130"/>
      <c r="F108" s="131"/>
      <c r="G108" s="130"/>
      <c r="H108" s="130"/>
      <c r="I108" s="132"/>
      <c r="J108" s="132"/>
      <c r="K108" s="116"/>
      <c r="L108" s="116"/>
      <c r="M108" s="112"/>
      <c r="N108" s="116"/>
    </row>
    <row r="109" spans="1:14" ht="31.5" customHeight="1">
      <c r="A109" s="51" t="s">
        <v>41</v>
      </c>
      <c r="B109" s="133"/>
      <c r="C109" s="129"/>
      <c r="D109" s="130"/>
      <c r="E109" s="130"/>
      <c r="F109" s="131"/>
      <c r="G109" s="130"/>
      <c r="H109" s="130"/>
      <c r="I109" s="132"/>
      <c r="J109" s="132"/>
      <c r="K109" s="116"/>
      <c r="L109" s="116"/>
      <c r="M109" s="112"/>
      <c r="N109" s="116"/>
    </row>
    <row r="110" spans="1:14" ht="22.5" customHeight="1">
      <c r="A110" s="51" t="s">
        <v>42</v>
      </c>
      <c r="B110" s="133"/>
      <c r="C110" s="129"/>
      <c r="D110" s="129"/>
      <c r="E110" s="129"/>
      <c r="F110" s="129"/>
      <c r="G110" s="129"/>
      <c r="H110" s="129"/>
      <c r="I110" s="132"/>
      <c r="J110" s="132"/>
      <c r="K110" s="116"/>
      <c r="L110" s="116"/>
      <c r="M110" s="112"/>
      <c r="N110" s="116"/>
    </row>
    <row r="111" spans="1:14" ht="18.75">
      <c r="A111" s="165" t="s">
        <v>120</v>
      </c>
      <c r="B111" s="166"/>
      <c r="C111" s="166"/>
      <c r="D111" s="166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</row>
    <row r="112" spans="1:2" ht="19.5" customHeight="1">
      <c r="A112" s="36"/>
      <c r="B112" s="36"/>
    </row>
    <row r="113" spans="1:14" ht="18" customHeight="1">
      <c r="A113" s="36" t="s">
        <v>43</v>
      </c>
      <c r="B113" s="36"/>
      <c r="F113" s="134"/>
      <c r="G113" s="134"/>
      <c r="H113" s="134"/>
      <c r="I113" s="134"/>
      <c r="J113" s="134"/>
      <c r="K113" s="134"/>
      <c r="L113" s="134"/>
      <c r="M113" s="134"/>
      <c r="N113" s="134"/>
    </row>
  </sheetData>
  <sheetProtection/>
  <mergeCells count="12">
    <mergeCell ref="I4:I5"/>
    <mergeCell ref="J4:J5"/>
    <mergeCell ref="K4:L4"/>
    <mergeCell ref="M4:N4"/>
    <mergeCell ref="A2:N2"/>
    <mergeCell ref="A4:A5"/>
    <mergeCell ref="B4:B5"/>
    <mergeCell ref="C4:C5"/>
    <mergeCell ref="D4:D5"/>
    <mergeCell ref="E4:E5"/>
    <mergeCell ref="F4:G4"/>
    <mergeCell ref="H4:H5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13"/>
  <sheetViews>
    <sheetView zoomScale="73" zoomScaleNormal="73" workbookViewId="0" topLeftCell="A34">
      <selection activeCell="B38" sqref="B38"/>
    </sheetView>
  </sheetViews>
  <sheetFormatPr defaultColWidth="9.00390625" defaultRowHeight="12.75"/>
  <cols>
    <col min="1" max="1" width="39.125" style="0" customWidth="1"/>
    <col min="2" max="2" width="14.75390625" style="0" customWidth="1"/>
    <col min="3" max="3" width="12.125" style="0" customWidth="1"/>
    <col min="4" max="4" width="16.25390625" style="0" customWidth="1"/>
    <col min="5" max="5" width="14.875" style="0" customWidth="1"/>
    <col min="6" max="8" width="12.375" style="0" customWidth="1"/>
    <col min="9" max="9" width="13.875" style="0" customWidth="1"/>
    <col min="10" max="10" width="12.875" style="0" customWidth="1"/>
    <col min="11" max="12" width="10.375" style="0" customWidth="1"/>
    <col min="13" max="14" width="11.00390625" style="0" customWidth="1"/>
  </cols>
  <sheetData>
    <row r="1" spans="12:14" ht="18.75" customHeight="1">
      <c r="L1" s="169" t="s">
        <v>161</v>
      </c>
      <c r="M1" s="162"/>
      <c r="N1" s="162"/>
    </row>
    <row r="2" spans="1:14" s="4" customFormat="1" ht="36" customHeight="1">
      <c r="A2" s="247" t="s">
        <v>162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6.5" customHeight="1">
      <c r="A3" s="140" t="s">
        <v>87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</row>
    <row r="4" spans="1:14" ht="33.75" customHeight="1">
      <c r="A4" s="248" t="s">
        <v>5</v>
      </c>
      <c r="B4" s="248" t="s">
        <v>131</v>
      </c>
      <c r="C4" s="249" t="s">
        <v>163</v>
      </c>
      <c r="D4" s="250" t="s">
        <v>165</v>
      </c>
      <c r="E4" s="244" t="s">
        <v>164</v>
      </c>
      <c r="F4" s="245" t="s">
        <v>166</v>
      </c>
      <c r="G4" s="245"/>
      <c r="H4" s="250" t="s">
        <v>167</v>
      </c>
      <c r="I4" s="244" t="s">
        <v>169</v>
      </c>
      <c r="J4" s="244" t="s">
        <v>170</v>
      </c>
      <c r="K4" s="245" t="s">
        <v>171</v>
      </c>
      <c r="L4" s="245"/>
      <c r="M4" s="246" t="s">
        <v>172</v>
      </c>
      <c r="N4" s="246"/>
    </row>
    <row r="5" spans="1:14" ht="63.75" customHeight="1">
      <c r="A5" s="248"/>
      <c r="B5" s="248"/>
      <c r="C5" s="249"/>
      <c r="D5" s="251"/>
      <c r="E5" s="244"/>
      <c r="F5" s="48" t="s">
        <v>19</v>
      </c>
      <c r="G5" s="48" t="s">
        <v>20</v>
      </c>
      <c r="H5" s="251"/>
      <c r="I5" s="244"/>
      <c r="J5" s="244"/>
      <c r="K5" s="48" t="s">
        <v>21</v>
      </c>
      <c r="L5" s="48" t="s">
        <v>20</v>
      </c>
      <c r="M5" s="50" t="s">
        <v>22</v>
      </c>
      <c r="N5" s="50" t="s">
        <v>23</v>
      </c>
    </row>
    <row r="6" spans="1:14" ht="16.5" customHeight="1">
      <c r="A6" s="45">
        <v>1</v>
      </c>
      <c r="B6" s="45">
        <v>2</v>
      </c>
      <c r="C6" s="46">
        <v>3</v>
      </c>
      <c r="D6" s="49">
        <v>4</v>
      </c>
      <c r="E6" s="47">
        <v>5</v>
      </c>
      <c r="F6" s="48">
        <v>6</v>
      </c>
      <c r="G6" s="48">
        <v>7</v>
      </c>
      <c r="H6" s="49" t="s">
        <v>168</v>
      </c>
      <c r="I6" s="47">
        <v>9</v>
      </c>
      <c r="J6" s="47">
        <v>10</v>
      </c>
      <c r="K6" s="48">
        <v>11</v>
      </c>
      <c r="L6" s="48">
        <v>12</v>
      </c>
      <c r="M6" s="50">
        <v>13</v>
      </c>
      <c r="N6" s="50">
        <v>14</v>
      </c>
    </row>
    <row r="7" spans="1:65" s="56" customFormat="1" ht="36" customHeight="1">
      <c r="A7" s="51" t="s">
        <v>83</v>
      </c>
      <c r="B7" s="52">
        <f>B8+B28</f>
        <v>0</v>
      </c>
      <c r="C7" s="52">
        <f>C8+C28</f>
        <v>0</v>
      </c>
      <c r="D7" s="53" t="s">
        <v>3</v>
      </c>
      <c r="E7" s="52">
        <f>E8+E28</f>
        <v>0</v>
      </c>
      <c r="F7" s="52">
        <f>F8+F28</f>
        <v>0</v>
      </c>
      <c r="G7" s="52">
        <f>G8+G28</f>
        <v>0</v>
      </c>
      <c r="H7" s="52">
        <f aca="true" t="shared" si="0" ref="H7:H26">G7-E7</f>
        <v>0</v>
      </c>
      <c r="I7" s="54" t="e">
        <f>F7/B7</f>
        <v>#DIV/0!</v>
      </c>
      <c r="J7" s="54" t="e">
        <f>G7/B7</f>
        <v>#DIV/0!</v>
      </c>
      <c r="K7" s="52">
        <f>K8+K28</f>
        <v>0</v>
      </c>
      <c r="L7" s="52">
        <f>L8+L28</f>
        <v>0</v>
      </c>
      <c r="M7" s="55" t="e">
        <f>K7/F7</f>
        <v>#DIV/0!</v>
      </c>
      <c r="N7" s="55" t="e">
        <f>L7/G7</f>
        <v>#DIV/0!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</row>
    <row r="8" spans="1:14" ht="21.75" customHeight="1">
      <c r="A8" s="57" t="s">
        <v>24</v>
      </c>
      <c r="B8" s="58">
        <f>B10+B17</f>
        <v>0</v>
      </c>
      <c r="C8" s="58">
        <f>C10+C17</f>
        <v>0</v>
      </c>
      <c r="D8" s="59" t="s">
        <v>3</v>
      </c>
      <c r="E8" s="58">
        <f>E10+E17</f>
        <v>0</v>
      </c>
      <c r="F8" s="58">
        <f>F10+F17</f>
        <v>0</v>
      </c>
      <c r="G8" s="58">
        <f>G10+G17</f>
        <v>0</v>
      </c>
      <c r="H8" s="60">
        <f t="shared" si="0"/>
        <v>0</v>
      </c>
      <c r="I8" s="61" t="e">
        <f>F8/B8</f>
        <v>#DIV/0!</v>
      </c>
      <c r="J8" s="61" t="e">
        <f>G8/B8</f>
        <v>#DIV/0!</v>
      </c>
      <c r="K8" s="58">
        <f>K10+K17</f>
        <v>0</v>
      </c>
      <c r="L8" s="58">
        <f>L10+L17</f>
        <v>0</v>
      </c>
      <c r="M8" s="62" t="e">
        <f aca="true" t="shared" si="1" ref="M8:N26">K8/F8</f>
        <v>#DIV/0!</v>
      </c>
      <c r="N8" s="62" t="e">
        <f t="shared" si="1"/>
        <v>#DIV/0!</v>
      </c>
    </row>
    <row r="9" spans="1:14" ht="15">
      <c r="A9" s="63" t="s">
        <v>56</v>
      </c>
      <c r="B9" s="64"/>
      <c r="C9" s="65"/>
      <c r="D9" s="66" t="s">
        <v>3</v>
      </c>
      <c r="E9" s="65"/>
      <c r="F9" s="65"/>
      <c r="G9" s="65"/>
      <c r="H9" s="67">
        <f t="shared" si="0"/>
        <v>0</v>
      </c>
      <c r="I9" s="68"/>
      <c r="J9" s="68"/>
      <c r="K9" s="65"/>
      <c r="L9" s="65"/>
      <c r="M9" s="68" t="e">
        <f t="shared" si="1"/>
        <v>#DIV/0!</v>
      </c>
      <c r="N9" s="68" t="e">
        <f t="shared" si="1"/>
        <v>#DIV/0!</v>
      </c>
    </row>
    <row r="10" spans="1:14" ht="18" customHeight="1">
      <c r="A10" s="63" t="s">
        <v>57</v>
      </c>
      <c r="B10" s="64"/>
      <c r="C10" s="65"/>
      <c r="D10" s="66" t="s">
        <v>3</v>
      </c>
      <c r="E10" s="65"/>
      <c r="F10" s="69"/>
      <c r="G10" s="69"/>
      <c r="H10" s="70">
        <f t="shared" si="0"/>
        <v>0</v>
      </c>
      <c r="I10" s="71" t="e">
        <f aca="true" t="shared" si="2" ref="I10:I21">F10/B10</f>
        <v>#DIV/0!</v>
      </c>
      <c r="J10" s="72" t="e">
        <f aca="true" t="shared" si="3" ref="J10:J21">G10/B10</f>
        <v>#DIV/0!</v>
      </c>
      <c r="K10" s="69"/>
      <c r="L10" s="69"/>
      <c r="M10" s="68" t="e">
        <f t="shared" si="1"/>
        <v>#DIV/0!</v>
      </c>
      <c r="N10" s="68" t="e">
        <f t="shared" si="1"/>
        <v>#DIV/0!</v>
      </c>
    </row>
    <row r="11" spans="1:14" ht="18" customHeight="1">
      <c r="A11" s="63" t="s">
        <v>58</v>
      </c>
      <c r="B11" s="64"/>
      <c r="C11" s="65"/>
      <c r="D11" s="66" t="s">
        <v>3</v>
      </c>
      <c r="E11" s="65"/>
      <c r="F11" s="65"/>
      <c r="G11" s="65"/>
      <c r="H11" s="67">
        <f t="shared" si="0"/>
        <v>0</v>
      </c>
      <c r="I11" s="71" t="e">
        <f t="shared" si="2"/>
        <v>#DIV/0!</v>
      </c>
      <c r="J11" s="72" t="e">
        <f t="shared" si="3"/>
        <v>#DIV/0!</v>
      </c>
      <c r="K11" s="65"/>
      <c r="L11" s="65"/>
      <c r="M11" s="68" t="e">
        <f t="shared" si="1"/>
        <v>#DIV/0!</v>
      </c>
      <c r="N11" s="68" t="e">
        <f t="shared" si="1"/>
        <v>#DIV/0!</v>
      </c>
    </row>
    <row r="12" spans="1:14" ht="18" customHeight="1">
      <c r="A12" s="63" t="s">
        <v>59</v>
      </c>
      <c r="B12" s="64"/>
      <c r="C12" s="65"/>
      <c r="D12" s="66" t="s">
        <v>3</v>
      </c>
      <c r="E12" s="65"/>
      <c r="F12" s="65"/>
      <c r="G12" s="65"/>
      <c r="H12" s="67">
        <f t="shared" si="0"/>
        <v>0</v>
      </c>
      <c r="I12" s="71" t="e">
        <f t="shared" si="2"/>
        <v>#DIV/0!</v>
      </c>
      <c r="J12" s="72" t="e">
        <f t="shared" si="3"/>
        <v>#DIV/0!</v>
      </c>
      <c r="K12" s="65"/>
      <c r="L12" s="65"/>
      <c r="M12" s="68" t="e">
        <f t="shared" si="1"/>
        <v>#DIV/0!</v>
      </c>
      <c r="N12" s="68" t="e">
        <f t="shared" si="1"/>
        <v>#DIV/0!</v>
      </c>
    </row>
    <row r="13" spans="1:14" ht="18" customHeight="1">
      <c r="A13" s="63" t="s">
        <v>60</v>
      </c>
      <c r="B13" s="64"/>
      <c r="C13" s="65"/>
      <c r="D13" s="66" t="s">
        <v>3</v>
      </c>
      <c r="E13" s="65"/>
      <c r="F13" s="65"/>
      <c r="G13" s="65"/>
      <c r="H13" s="67">
        <f t="shared" si="0"/>
        <v>0</v>
      </c>
      <c r="I13" s="71" t="e">
        <f t="shared" si="2"/>
        <v>#DIV/0!</v>
      </c>
      <c r="J13" s="72" t="e">
        <f t="shared" si="3"/>
        <v>#DIV/0!</v>
      </c>
      <c r="K13" s="65"/>
      <c r="L13" s="65"/>
      <c r="M13" s="68" t="e">
        <f t="shared" si="1"/>
        <v>#DIV/0!</v>
      </c>
      <c r="N13" s="68" t="e">
        <f t="shared" si="1"/>
        <v>#DIV/0!</v>
      </c>
    </row>
    <row r="14" spans="1:14" ht="18" customHeight="1">
      <c r="A14" s="63" t="s">
        <v>61</v>
      </c>
      <c r="B14" s="64"/>
      <c r="C14" s="65"/>
      <c r="D14" s="66" t="s">
        <v>3</v>
      </c>
      <c r="E14" s="65"/>
      <c r="F14" s="65"/>
      <c r="G14" s="65"/>
      <c r="H14" s="67">
        <f t="shared" si="0"/>
        <v>0</v>
      </c>
      <c r="I14" s="71" t="e">
        <f t="shared" si="2"/>
        <v>#DIV/0!</v>
      </c>
      <c r="J14" s="72" t="e">
        <f t="shared" si="3"/>
        <v>#DIV/0!</v>
      </c>
      <c r="K14" s="65"/>
      <c r="L14" s="65"/>
      <c r="M14" s="68" t="e">
        <f t="shared" si="1"/>
        <v>#DIV/0!</v>
      </c>
      <c r="N14" s="68" t="e">
        <f t="shared" si="1"/>
        <v>#DIV/0!</v>
      </c>
    </row>
    <row r="15" spans="1:14" ht="18" customHeight="1">
      <c r="A15" s="63" t="s">
        <v>62</v>
      </c>
      <c r="B15" s="64"/>
      <c r="C15" s="65"/>
      <c r="D15" s="66" t="s">
        <v>3</v>
      </c>
      <c r="E15" s="65"/>
      <c r="F15" s="65"/>
      <c r="G15" s="65"/>
      <c r="H15" s="67">
        <f t="shared" si="0"/>
        <v>0</v>
      </c>
      <c r="I15" s="71" t="e">
        <f t="shared" si="2"/>
        <v>#DIV/0!</v>
      </c>
      <c r="J15" s="72" t="e">
        <f t="shared" si="3"/>
        <v>#DIV/0!</v>
      </c>
      <c r="K15" s="65"/>
      <c r="L15" s="65"/>
      <c r="M15" s="68" t="e">
        <f t="shared" si="1"/>
        <v>#DIV/0!</v>
      </c>
      <c r="N15" s="68" t="e">
        <f t="shared" si="1"/>
        <v>#DIV/0!</v>
      </c>
    </row>
    <row r="16" spans="1:14" ht="18" customHeight="1">
      <c r="A16" s="63" t="s">
        <v>63</v>
      </c>
      <c r="B16" s="64"/>
      <c r="C16" s="65"/>
      <c r="D16" s="66" t="s">
        <v>3</v>
      </c>
      <c r="E16" s="65"/>
      <c r="F16" s="65"/>
      <c r="G16" s="65"/>
      <c r="H16" s="67">
        <f t="shared" si="0"/>
        <v>0</v>
      </c>
      <c r="I16" s="71" t="e">
        <f t="shared" si="2"/>
        <v>#DIV/0!</v>
      </c>
      <c r="J16" s="72" t="e">
        <f t="shared" si="3"/>
        <v>#DIV/0!</v>
      </c>
      <c r="K16" s="65"/>
      <c r="L16" s="65"/>
      <c r="M16" s="68" t="e">
        <f t="shared" si="1"/>
        <v>#DIV/0!</v>
      </c>
      <c r="N16" s="68" t="e">
        <f t="shared" si="1"/>
        <v>#DIV/0!</v>
      </c>
    </row>
    <row r="17" spans="1:14" ht="18" customHeight="1">
      <c r="A17" s="63" t="s">
        <v>64</v>
      </c>
      <c r="B17" s="64"/>
      <c r="C17" s="65"/>
      <c r="D17" s="66" t="s">
        <v>3</v>
      </c>
      <c r="E17" s="65"/>
      <c r="F17" s="69"/>
      <c r="G17" s="69"/>
      <c r="H17" s="70">
        <f t="shared" si="0"/>
        <v>0</v>
      </c>
      <c r="I17" s="71" t="e">
        <f t="shared" si="2"/>
        <v>#DIV/0!</v>
      </c>
      <c r="J17" s="72" t="e">
        <f t="shared" si="3"/>
        <v>#DIV/0!</v>
      </c>
      <c r="K17" s="69"/>
      <c r="L17" s="69"/>
      <c r="M17" s="68" t="e">
        <f t="shared" si="1"/>
        <v>#DIV/0!</v>
      </c>
      <c r="N17" s="68" t="e">
        <f t="shared" si="1"/>
        <v>#DIV/0!</v>
      </c>
    </row>
    <row r="18" spans="1:14" ht="16.5" customHeight="1">
      <c r="A18" s="63" t="s">
        <v>65</v>
      </c>
      <c r="B18" s="64"/>
      <c r="C18" s="65"/>
      <c r="D18" s="66" t="s">
        <v>3</v>
      </c>
      <c r="E18" s="65"/>
      <c r="F18" s="69"/>
      <c r="G18" s="69"/>
      <c r="H18" s="70">
        <f t="shared" si="0"/>
        <v>0</v>
      </c>
      <c r="I18" s="71" t="e">
        <f t="shared" si="2"/>
        <v>#DIV/0!</v>
      </c>
      <c r="J18" s="72" t="e">
        <f t="shared" si="3"/>
        <v>#DIV/0!</v>
      </c>
      <c r="K18" s="69"/>
      <c r="L18" s="69"/>
      <c r="M18" s="68" t="e">
        <f t="shared" si="1"/>
        <v>#DIV/0!</v>
      </c>
      <c r="N18" s="68" t="e">
        <f t="shared" si="1"/>
        <v>#DIV/0!</v>
      </c>
    </row>
    <row r="19" spans="1:14" ht="45" customHeight="1">
      <c r="A19" s="63" t="s">
        <v>66</v>
      </c>
      <c r="B19" s="64"/>
      <c r="C19" s="65"/>
      <c r="D19" s="66" t="s">
        <v>3</v>
      </c>
      <c r="E19" s="65"/>
      <c r="F19" s="69"/>
      <c r="G19" s="69"/>
      <c r="H19" s="70">
        <f t="shared" si="0"/>
        <v>0</v>
      </c>
      <c r="I19" s="71" t="e">
        <f t="shared" si="2"/>
        <v>#DIV/0!</v>
      </c>
      <c r="J19" s="72" t="e">
        <f t="shared" si="3"/>
        <v>#DIV/0!</v>
      </c>
      <c r="K19" s="69"/>
      <c r="L19" s="69"/>
      <c r="M19" s="68" t="e">
        <f t="shared" si="1"/>
        <v>#DIV/0!</v>
      </c>
      <c r="N19" s="68" t="e">
        <f t="shared" si="1"/>
        <v>#DIV/0!</v>
      </c>
    </row>
    <row r="20" spans="1:14" ht="26.25" customHeight="1">
      <c r="A20" s="73" t="s">
        <v>67</v>
      </c>
      <c r="B20" s="64"/>
      <c r="C20" s="65"/>
      <c r="D20" s="66" t="s">
        <v>3</v>
      </c>
      <c r="E20" s="65"/>
      <c r="F20" s="69"/>
      <c r="G20" s="69"/>
      <c r="H20" s="70">
        <f t="shared" si="0"/>
        <v>0</v>
      </c>
      <c r="I20" s="71" t="e">
        <f t="shared" si="2"/>
        <v>#DIV/0!</v>
      </c>
      <c r="J20" s="72" t="e">
        <f t="shared" si="3"/>
        <v>#DIV/0!</v>
      </c>
      <c r="K20" s="69"/>
      <c r="L20" s="69"/>
      <c r="M20" s="68" t="e">
        <f t="shared" si="1"/>
        <v>#DIV/0!</v>
      </c>
      <c r="N20" s="68" t="e">
        <f t="shared" si="1"/>
        <v>#DIV/0!</v>
      </c>
    </row>
    <row r="21" spans="1:14" ht="34.5" customHeight="1">
      <c r="A21" s="74" t="s">
        <v>68</v>
      </c>
      <c r="B21" s="75"/>
      <c r="C21" s="65"/>
      <c r="D21" s="66" t="s">
        <v>3</v>
      </c>
      <c r="E21" s="65"/>
      <c r="F21" s="69"/>
      <c r="G21" s="69"/>
      <c r="H21" s="70">
        <f t="shared" si="0"/>
        <v>0</v>
      </c>
      <c r="I21" s="71" t="e">
        <f t="shared" si="2"/>
        <v>#DIV/0!</v>
      </c>
      <c r="J21" s="72" t="e">
        <f t="shared" si="3"/>
        <v>#DIV/0!</v>
      </c>
      <c r="K21" s="69"/>
      <c r="L21" s="69"/>
      <c r="M21" s="68" t="e">
        <f t="shared" si="1"/>
        <v>#DIV/0!</v>
      </c>
      <c r="N21" s="68" t="e">
        <f t="shared" si="1"/>
        <v>#DIV/0!</v>
      </c>
    </row>
    <row r="22" spans="1:14" ht="34.5" customHeight="1">
      <c r="A22" s="74" t="s">
        <v>179</v>
      </c>
      <c r="B22" s="75"/>
      <c r="C22" s="65"/>
      <c r="D22" s="66" t="s">
        <v>3</v>
      </c>
      <c r="E22" s="65"/>
      <c r="F22" s="69"/>
      <c r="G22" s="69"/>
      <c r="H22" s="70">
        <f>G22-E22</f>
        <v>0</v>
      </c>
      <c r="I22" s="71" t="e">
        <f>F22/B22</f>
        <v>#DIV/0!</v>
      </c>
      <c r="J22" s="72" t="e">
        <f>G22/B22</f>
        <v>#DIV/0!</v>
      </c>
      <c r="K22" s="69"/>
      <c r="L22" s="69"/>
      <c r="M22" s="68" t="e">
        <f>K22/F22</f>
        <v>#DIV/0!</v>
      </c>
      <c r="N22" s="68" t="e">
        <f>L22/G22</f>
        <v>#DIV/0!</v>
      </c>
    </row>
    <row r="23" spans="1:14" s="82" customFormat="1" ht="18.75" customHeight="1">
      <c r="A23" s="76" t="s">
        <v>25</v>
      </c>
      <c r="B23" s="77"/>
      <c r="C23" s="78"/>
      <c r="D23" s="78"/>
      <c r="E23" s="78"/>
      <c r="F23" s="78"/>
      <c r="G23" s="78"/>
      <c r="H23" s="79">
        <f t="shared" si="0"/>
        <v>0</v>
      </c>
      <c r="I23" s="80"/>
      <c r="J23" s="80"/>
      <c r="K23" s="78"/>
      <c r="L23" s="78"/>
      <c r="M23" s="81" t="e">
        <f t="shared" si="1"/>
        <v>#DIV/0!</v>
      </c>
      <c r="N23" s="81" t="e">
        <f t="shared" si="1"/>
        <v>#DIV/0!</v>
      </c>
    </row>
    <row r="24" spans="1:14" ht="19.5" customHeight="1">
      <c r="A24" s="63" t="s">
        <v>26</v>
      </c>
      <c r="B24" s="83"/>
      <c r="C24" s="65"/>
      <c r="D24" s="66" t="s">
        <v>3</v>
      </c>
      <c r="E24" s="65"/>
      <c r="F24" s="69"/>
      <c r="G24" s="65"/>
      <c r="H24" s="67">
        <f t="shared" si="0"/>
        <v>0</v>
      </c>
      <c r="I24" s="71" t="e">
        <f>F24/B24</f>
        <v>#DIV/0!</v>
      </c>
      <c r="J24" s="72" t="e">
        <f>G24/B24</f>
        <v>#DIV/0!</v>
      </c>
      <c r="K24" s="69"/>
      <c r="L24" s="69"/>
      <c r="M24" s="68" t="e">
        <f t="shared" si="1"/>
        <v>#DIV/0!</v>
      </c>
      <c r="N24" s="68" t="e">
        <f t="shared" si="1"/>
        <v>#DIV/0!</v>
      </c>
    </row>
    <row r="25" spans="1:14" ht="23.25" customHeight="1">
      <c r="A25" s="63" t="s">
        <v>27</v>
      </c>
      <c r="B25" s="64"/>
      <c r="C25" s="65"/>
      <c r="D25" s="66" t="s">
        <v>3</v>
      </c>
      <c r="E25" s="65"/>
      <c r="F25" s="69"/>
      <c r="G25" s="65"/>
      <c r="H25" s="67">
        <f t="shared" si="0"/>
        <v>0</v>
      </c>
      <c r="I25" s="71" t="e">
        <f>F25/B25</f>
        <v>#DIV/0!</v>
      </c>
      <c r="J25" s="72" t="e">
        <f>G25/B25</f>
        <v>#DIV/0!</v>
      </c>
      <c r="K25" s="69"/>
      <c r="L25" s="65"/>
      <c r="M25" s="68" t="e">
        <f t="shared" si="1"/>
        <v>#DIV/0!</v>
      </c>
      <c r="N25" s="68" t="e">
        <f t="shared" si="1"/>
        <v>#DIV/0!</v>
      </c>
    </row>
    <row r="26" spans="1:14" ht="23.25" customHeight="1">
      <c r="A26" s="63" t="s">
        <v>28</v>
      </c>
      <c r="B26" s="64"/>
      <c r="C26" s="65"/>
      <c r="D26" s="66" t="s">
        <v>3</v>
      </c>
      <c r="E26" s="65"/>
      <c r="F26" s="65"/>
      <c r="G26" s="65"/>
      <c r="H26" s="67">
        <f t="shared" si="0"/>
        <v>0</v>
      </c>
      <c r="I26" s="71" t="e">
        <f>F26/B26</f>
        <v>#DIV/0!</v>
      </c>
      <c r="J26" s="72" t="e">
        <f>G26/B26</f>
        <v>#DIV/0!</v>
      </c>
      <c r="K26" s="65"/>
      <c r="L26" s="65"/>
      <c r="M26" s="68" t="e">
        <f t="shared" si="1"/>
        <v>#DIV/0!</v>
      </c>
      <c r="N26" s="68" t="e">
        <f t="shared" si="1"/>
        <v>#DIV/0!</v>
      </c>
    </row>
    <row r="27" spans="1:14" ht="37.5" customHeight="1">
      <c r="A27" s="63" t="s">
        <v>111</v>
      </c>
      <c r="B27" s="161">
        <f>B25+B30</f>
        <v>0</v>
      </c>
      <c r="C27" s="161">
        <f aca="true" t="shared" si="4" ref="C27:H27">C25+C30</f>
        <v>0</v>
      </c>
      <c r="D27" s="161"/>
      <c r="E27" s="161">
        <f t="shared" si="4"/>
        <v>0</v>
      </c>
      <c r="F27" s="161">
        <f t="shared" si="4"/>
        <v>0</v>
      </c>
      <c r="G27" s="161">
        <f t="shared" si="4"/>
        <v>0</v>
      </c>
      <c r="H27" s="161">
        <f t="shared" si="4"/>
        <v>0</v>
      </c>
      <c r="I27" s="71"/>
      <c r="J27" s="72"/>
      <c r="K27" s="65"/>
      <c r="L27" s="65"/>
      <c r="M27" s="68"/>
      <c r="N27" s="68"/>
    </row>
    <row r="28" spans="1:14" s="82" customFormat="1" ht="30" customHeight="1">
      <c r="A28" s="57" t="s">
        <v>69</v>
      </c>
      <c r="B28" s="58">
        <f>B30+B31+B32+B33+B34+B35</f>
        <v>0</v>
      </c>
      <c r="C28" s="58">
        <f>C30+C31+C32+C33+C34+C35</f>
        <v>0</v>
      </c>
      <c r="D28" s="59" t="s">
        <v>3</v>
      </c>
      <c r="E28" s="58">
        <f>E30+E31+E32+E33+E34+E35</f>
        <v>0</v>
      </c>
      <c r="F28" s="58">
        <f>F30+F31+F32+F33+F34+F35</f>
        <v>0</v>
      </c>
      <c r="G28" s="58">
        <f>G30+G31+G32+G33+G34+G35</f>
        <v>0</v>
      </c>
      <c r="H28" s="60">
        <f aca="true" t="shared" si="5" ref="H28:H33">G28-E28</f>
        <v>0</v>
      </c>
      <c r="I28" s="61" t="e">
        <f>F28/B28</f>
        <v>#DIV/0!</v>
      </c>
      <c r="J28" s="61" t="e">
        <f>G28/B28</f>
        <v>#DIV/0!</v>
      </c>
      <c r="K28" s="58">
        <f>K30+K31+K32+K33+K34+K35</f>
        <v>0</v>
      </c>
      <c r="L28" s="58">
        <f>L30+L31+L32+L33+L34+L35</f>
        <v>0</v>
      </c>
      <c r="M28" s="61" t="e">
        <f aca="true" t="shared" si="6" ref="M28:N92">K28/F28</f>
        <v>#DIV/0!</v>
      </c>
      <c r="N28" s="61" t="e">
        <f t="shared" si="6"/>
        <v>#DIV/0!</v>
      </c>
    </row>
    <row r="29" spans="1:14" ht="18.75" customHeight="1">
      <c r="A29" s="73" t="s">
        <v>4</v>
      </c>
      <c r="B29" s="84"/>
      <c r="C29" s="85"/>
      <c r="D29" s="85"/>
      <c r="E29" s="85"/>
      <c r="F29" s="65"/>
      <c r="G29" s="65"/>
      <c r="H29" s="67">
        <f t="shared" si="5"/>
        <v>0</v>
      </c>
      <c r="I29" s="68"/>
      <c r="J29" s="68"/>
      <c r="K29" s="65"/>
      <c r="L29" s="65"/>
      <c r="M29" s="68" t="e">
        <f t="shared" si="6"/>
        <v>#DIV/0!</v>
      </c>
      <c r="N29" s="68" t="e">
        <f t="shared" si="6"/>
        <v>#DIV/0!</v>
      </c>
    </row>
    <row r="30" spans="1:14" ht="33" customHeight="1">
      <c r="A30" s="63" t="s">
        <v>175</v>
      </c>
      <c r="B30" s="64"/>
      <c r="C30" s="65"/>
      <c r="D30" s="66" t="s">
        <v>3</v>
      </c>
      <c r="E30" s="65"/>
      <c r="F30" s="65"/>
      <c r="G30" s="65"/>
      <c r="H30" s="67">
        <f t="shared" si="5"/>
        <v>0</v>
      </c>
      <c r="I30" s="71" t="e">
        <f aca="true" t="shared" si="7" ref="I30:I36">F30/B30</f>
        <v>#DIV/0!</v>
      </c>
      <c r="J30" s="72" t="e">
        <f aca="true" t="shared" si="8" ref="J30:J92">G30/B30</f>
        <v>#DIV/0!</v>
      </c>
      <c r="K30" s="65"/>
      <c r="L30" s="65"/>
      <c r="M30" s="68" t="e">
        <f t="shared" si="6"/>
        <v>#DIV/0!</v>
      </c>
      <c r="N30" s="68" t="e">
        <f t="shared" si="6"/>
        <v>#DIV/0!</v>
      </c>
    </row>
    <row r="31" spans="1:14" ht="48.75" customHeight="1">
      <c r="A31" s="63" t="s">
        <v>176</v>
      </c>
      <c r="B31" s="64"/>
      <c r="C31" s="65"/>
      <c r="D31" s="66" t="s">
        <v>3</v>
      </c>
      <c r="E31" s="65"/>
      <c r="F31" s="65"/>
      <c r="G31" s="65"/>
      <c r="H31" s="67">
        <f t="shared" si="5"/>
        <v>0</v>
      </c>
      <c r="I31" s="71" t="e">
        <f t="shared" si="7"/>
        <v>#DIV/0!</v>
      </c>
      <c r="J31" s="72" t="e">
        <f t="shared" si="8"/>
        <v>#DIV/0!</v>
      </c>
      <c r="K31" s="65"/>
      <c r="L31" s="65"/>
      <c r="M31" s="68" t="e">
        <f t="shared" si="6"/>
        <v>#DIV/0!</v>
      </c>
      <c r="N31" s="68" t="e">
        <f t="shared" si="6"/>
        <v>#DIV/0!</v>
      </c>
    </row>
    <row r="32" spans="1:14" ht="17.25" customHeight="1">
      <c r="A32" s="63" t="s">
        <v>70</v>
      </c>
      <c r="B32" s="64"/>
      <c r="C32" s="65"/>
      <c r="D32" s="66" t="s">
        <v>3</v>
      </c>
      <c r="E32" s="65"/>
      <c r="F32" s="65"/>
      <c r="G32" s="65"/>
      <c r="H32" s="67">
        <f t="shared" si="5"/>
        <v>0</v>
      </c>
      <c r="I32" s="71" t="e">
        <f t="shared" si="7"/>
        <v>#DIV/0!</v>
      </c>
      <c r="J32" s="72" t="e">
        <f t="shared" si="8"/>
        <v>#DIV/0!</v>
      </c>
      <c r="K32" s="86"/>
      <c r="L32" s="86"/>
      <c r="M32" s="68" t="e">
        <f t="shared" si="6"/>
        <v>#DIV/0!</v>
      </c>
      <c r="N32" s="68" t="e">
        <f t="shared" si="6"/>
        <v>#DIV/0!</v>
      </c>
    </row>
    <row r="33" spans="1:14" ht="17.25" customHeight="1">
      <c r="A33" s="63" t="s">
        <v>71</v>
      </c>
      <c r="B33" s="64"/>
      <c r="C33" s="65"/>
      <c r="D33" s="66" t="s">
        <v>3</v>
      </c>
      <c r="E33" s="65"/>
      <c r="F33" s="65"/>
      <c r="G33" s="65"/>
      <c r="H33" s="67">
        <f t="shared" si="5"/>
        <v>0</v>
      </c>
      <c r="I33" s="71" t="e">
        <f t="shared" si="7"/>
        <v>#DIV/0!</v>
      </c>
      <c r="J33" s="72" t="e">
        <f t="shared" si="8"/>
        <v>#DIV/0!</v>
      </c>
      <c r="K33" s="65"/>
      <c r="L33" s="65"/>
      <c r="M33" s="68" t="e">
        <f t="shared" si="6"/>
        <v>#DIV/0!</v>
      </c>
      <c r="N33" s="68" t="e">
        <f t="shared" si="6"/>
        <v>#DIV/0!</v>
      </c>
    </row>
    <row r="34" spans="1:14" ht="33" customHeight="1">
      <c r="A34" s="63" t="s">
        <v>173</v>
      </c>
      <c r="B34" s="64"/>
      <c r="C34" s="65"/>
      <c r="D34" s="66"/>
      <c r="E34" s="65"/>
      <c r="F34" s="65"/>
      <c r="G34" s="65"/>
      <c r="H34" s="67"/>
      <c r="I34" s="71" t="e">
        <f t="shared" si="7"/>
        <v>#DIV/0!</v>
      </c>
      <c r="J34" s="72" t="e">
        <f t="shared" si="8"/>
        <v>#DIV/0!</v>
      </c>
      <c r="K34" s="65"/>
      <c r="L34" s="65"/>
      <c r="M34" s="68" t="e">
        <f>K34/F34</f>
        <v>#DIV/0!</v>
      </c>
      <c r="N34" s="68" t="e">
        <f>L34/G34</f>
        <v>#DIV/0!</v>
      </c>
    </row>
    <row r="35" spans="1:14" ht="33" customHeight="1">
      <c r="A35" s="63" t="s">
        <v>174</v>
      </c>
      <c r="B35" s="64"/>
      <c r="C35" s="65"/>
      <c r="D35" s="66"/>
      <c r="E35" s="65"/>
      <c r="F35" s="65"/>
      <c r="G35" s="65"/>
      <c r="H35" s="67"/>
      <c r="I35" s="71" t="e">
        <f t="shared" si="7"/>
        <v>#DIV/0!</v>
      </c>
      <c r="J35" s="72" t="e">
        <f t="shared" si="8"/>
        <v>#DIV/0!</v>
      </c>
      <c r="K35" s="65"/>
      <c r="L35" s="65"/>
      <c r="M35" s="68" t="e">
        <f>K35/F35</f>
        <v>#DIV/0!</v>
      </c>
      <c r="N35" s="68" t="e">
        <f>L35/G35</f>
        <v>#DIV/0!</v>
      </c>
    </row>
    <row r="36" spans="1:14" s="82" customFormat="1" ht="64.5" customHeight="1">
      <c r="A36" s="51" t="s">
        <v>137</v>
      </c>
      <c r="B36" s="52">
        <f aca="true" t="shared" si="9" ref="B36:G36">B38+B59+B71+B92</f>
        <v>20606.132879999997</v>
      </c>
      <c r="C36" s="52">
        <f t="shared" si="9"/>
        <v>18073.359839999997</v>
      </c>
      <c r="D36" s="52">
        <f t="shared" si="9"/>
        <v>0</v>
      </c>
      <c r="E36" s="52">
        <f t="shared" si="9"/>
        <v>19601.27691</v>
      </c>
      <c r="F36" s="52">
        <f t="shared" si="9"/>
        <v>0</v>
      </c>
      <c r="G36" s="52">
        <f t="shared" si="9"/>
        <v>18636.71087</v>
      </c>
      <c r="H36" s="87">
        <f>G36-E36</f>
        <v>-964.5660400000015</v>
      </c>
      <c r="I36" s="54">
        <f t="shared" si="7"/>
        <v>0</v>
      </c>
      <c r="J36" s="54">
        <f t="shared" si="8"/>
        <v>0.904425443557559</v>
      </c>
      <c r="K36" s="52">
        <f>K38+K59+K71+K92</f>
        <v>0</v>
      </c>
      <c r="L36" s="52">
        <f>L38+L59+L71+L92</f>
        <v>2975.46</v>
      </c>
      <c r="M36" s="55" t="e">
        <f t="shared" si="6"/>
        <v>#DIV/0!</v>
      </c>
      <c r="N36" s="55">
        <f t="shared" si="6"/>
        <v>0.15965585455262257</v>
      </c>
    </row>
    <row r="37" spans="1:14" ht="14.25" customHeight="1">
      <c r="A37" s="88" t="s">
        <v>4</v>
      </c>
      <c r="B37" s="89"/>
      <c r="C37" s="90"/>
      <c r="D37" s="90"/>
      <c r="E37" s="90"/>
      <c r="F37" s="90"/>
      <c r="G37" s="90"/>
      <c r="H37" s="87">
        <f>G37-E37</f>
        <v>0</v>
      </c>
      <c r="I37" s="91"/>
      <c r="J37" s="91" t="e">
        <f t="shared" si="8"/>
        <v>#DIV/0!</v>
      </c>
      <c r="K37" s="92"/>
      <c r="L37" s="92"/>
      <c r="M37" s="55" t="e">
        <f t="shared" si="6"/>
        <v>#DIV/0!</v>
      </c>
      <c r="N37" s="55" t="e">
        <f t="shared" si="6"/>
        <v>#DIV/0!</v>
      </c>
    </row>
    <row r="38" spans="1:14" s="82" customFormat="1" ht="30.75" customHeight="1">
      <c r="A38" s="57" t="s">
        <v>72</v>
      </c>
      <c r="B38" s="58">
        <f>B39+B40+B41+B42+B56</f>
        <v>18068.83701</v>
      </c>
      <c r="C38" s="58">
        <f>C39+C40+C41+C43+C44+C45+C46+C48+C49+C50+C51+C52+C53+C54+C55+C56</f>
        <v>17968.879839999998</v>
      </c>
      <c r="D38" s="58">
        <f>D39+D40+D43+D44+D45+D46+D61+D56+D47+D41</f>
        <v>0</v>
      </c>
      <c r="E38" s="58">
        <f>E39+E40+E43+E44+E45+E46+E47+E55+E56</f>
        <v>18799.61661</v>
      </c>
      <c r="F38" s="58">
        <f>F39+F40+F43+F44+F45+F46+F61+F56+F47+F41</f>
        <v>0</v>
      </c>
      <c r="G38" s="58">
        <f>G39+G40+G43+G44+G45+G46+G61+G56+G47+G41</f>
        <v>17835.05057</v>
      </c>
      <c r="H38" s="58">
        <f>H39+H40+H43+H44+H45+H46+H61+H56+H47+H41</f>
        <v>0</v>
      </c>
      <c r="I38" s="61">
        <f aca="true" t="shared" si="10" ref="I38:I92">F38/B38</f>
        <v>0</v>
      </c>
      <c r="J38" s="61">
        <f t="shared" si="8"/>
        <v>0.9870613454606617</v>
      </c>
      <c r="K38" s="58">
        <f>K39+K40+K43+K44+K45+K46+K61+K56+K47+K41</f>
        <v>0</v>
      </c>
      <c r="L38" s="58">
        <f>L39+L40+L43+L44+L45+L46+L61+L56+L47+L41</f>
        <v>0</v>
      </c>
      <c r="M38" s="61" t="e">
        <f t="shared" si="6"/>
        <v>#DIV/0!</v>
      </c>
      <c r="N38" s="61">
        <f t="shared" si="6"/>
        <v>0</v>
      </c>
    </row>
    <row r="39" spans="1:14" s="2" customFormat="1" ht="38.25" customHeight="1">
      <c r="A39" s="63" t="s">
        <v>115</v>
      </c>
      <c r="B39" s="65">
        <v>7877.29283</v>
      </c>
      <c r="C39" s="65">
        <v>8672.19181</v>
      </c>
      <c r="D39" s="65"/>
      <c r="E39" s="65">
        <v>8752.67066</v>
      </c>
      <c r="F39" s="65"/>
      <c r="G39" s="65">
        <f>E39</f>
        <v>8752.67066</v>
      </c>
      <c r="H39" s="67">
        <f aca="true" t="shared" si="11" ref="H39:H92">G39-E39</f>
        <v>0</v>
      </c>
      <c r="I39" s="93">
        <f t="shared" si="10"/>
        <v>0</v>
      </c>
      <c r="J39" s="93">
        <f t="shared" si="8"/>
        <v>1.111126734639875</v>
      </c>
      <c r="K39" s="65"/>
      <c r="L39" s="65"/>
      <c r="M39" s="68" t="e">
        <f t="shared" si="6"/>
        <v>#DIV/0!</v>
      </c>
      <c r="N39" s="68">
        <f t="shared" si="6"/>
        <v>0</v>
      </c>
    </row>
    <row r="40" spans="1:14" s="100" customFormat="1" ht="42" customHeight="1">
      <c r="A40" s="63" t="s">
        <v>116</v>
      </c>
      <c r="B40" s="65">
        <v>862.0185</v>
      </c>
      <c r="C40" s="65">
        <v>1038.384</v>
      </c>
      <c r="D40" s="65"/>
      <c r="E40" s="65">
        <v>1025.533</v>
      </c>
      <c r="F40" s="96"/>
      <c r="G40" s="65">
        <f>E40</f>
        <v>1025.533</v>
      </c>
      <c r="H40" s="67">
        <f t="shared" si="11"/>
        <v>0</v>
      </c>
      <c r="I40" s="93">
        <f t="shared" si="10"/>
        <v>0</v>
      </c>
      <c r="J40" s="93">
        <f t="shared" si="8"/>
        <v>1.1896879243310903</v>
      </c>
      <c r="K40" s="85"/>
      <c r="L40" s="85"/>
      <c r="M40" s="98" t="e">
        <f t="shared" si="6"/>
        <v>#DIV/0!</v>
      </c>
      <c r="N40" s="98">
        <f t="shared" si="6"/>
        <v>0</v>
      </c>
    </row>
    <row r="41" spans="1:14" s="100" customFormat="1" ht="29.25" customHeight="1">
      <c r="A41" s="101" t="s">
        <v>77</v>
      </c>
      <c r="B41" s="65">
        <v>0</v>
      </c>
      <c r="C41" s="65"/>
      <c r="D41" s="65"/>
      <c r="E41" s="65"/>
      <c r="F41" s="96"/>
      <c r="G41" s="65"/>
      <c r="H41" s="67">
        <f t="shared" si="11"/>
        <v>0</v>
      </c>
      <c r="I41" s="93" t="e">
        <f t="shared" si="10"/>
        <v>#DIV/0!</v>
      </c>
      <c r="J41" s="93" t="e">
        <f t="shared" si="8"/>
        <v>#DIV/0!</v>
      </c>
      <c r="K41" s="85"/>
      <c r="L41" s="85"/>
      <c r="M41" s="98" t="e">
        <f t="shared" si="6"/>
        <v>#DIV/0!</v>
      </c>
      <c r="N41" s="98" t="e">
        <f t="shared" si="6"/>
        <v>#DIV/0!</v>
      </c>
    </row>
    <row r="42" spans="1:14" s="100" customFormat="1" ht="30.75" customHeight="1">
      <c r="A42" s="101" t="s">
        <v>215</v>
      </c>
      <c r="B42" s="65">
        <f aca="true" t="shared" si="12" ref="B42:G42">B43+B44+B45+B46+B47+B55</f>
        <v>8981.14762</v>
      </c>
      <c r="C42" s="65">
        <f t="shared" si="12"/>
        <v>7960.30403</v>
      </c>
      <c r="D42" s="167">
        <f t="shared" si="12"/>
        <v>0</v>
      </c>
      <c r="E42" s="65">
        <f t="shared" si="12"/>
        <v>8644.03009</v>
      </c>
      <c r="F42" s="167">
        <f t="shared" si="12"/>
        <v>0</v>
      </c>
      <c r="G42" s="167">
        <f t="shared" si="12"/>
        <v>8644.03009</v>
      </c>
      <c r="H42" s="67">
        <f t="shared" si="11"/>
        <v>0</v>
      </c>
      <c r="I42" s="93">
        <f t="shared" si="10"/>
        <v>0</v>
      </c>
      <c r="J42" s="93">
        <f t="shared" si="8"/>
        <v>0.9624638694002449</v>
      </c>
      <c r="K42" s="167">
        <f>K43+K44+K45+K46+K47+K55</f>
        <v>0</v>
      </c>
      <c r="L42" s="167">
        <f>L43+L44+L45+L46+L47+L55</f>
        <v>0</v>
      </c>
      <c r="M42" s="98" t="e">
        <f t="shared" si="6"/>
        <v>#DIV/0!</v>
      </c>
      <c r="N42" s="98">
        <f t="shared" si="6"/>
        <v>0</v>
      </c>
    </row>
    <row r="43" spans="1:14" s="99" customFormat="1" ht="15" customHeight="1">
      <c r="A43" s="73" t="s">
        <v>81</v>
      </c>
      <c r="B43" s="65">
        <v>193.8723</v>
      </c>
      <c r="C43" s="65">
        <v>200</v>
      </c>
      <c r="D43" s="85"/>
      <c r="E43" s="65">
        <v>200</v>
      </c>
      <c r="F43" s="96"/>
      <c r="G43" s="85">
        <f>E43</f>
        <v>200</v>
      </c>
      <c r="H43" s="135">
        <f t="shared" si="11"/>
        <v>0</v>
      </c>
      <c r="I43" s="93">
        <f t="shared" si="10"/>
        <v>0</v>
      </c>
      <c r="J43" s="93">
        <f t="shared" si="8"/>
        <v>1.0316068876265458</v>
      </c>
      <c r="K43" s="85"/>
      <c r="L43" s="85"/>
      <c r="M43" s="98" t="e">
        <f t="shared" si="6"/>
        <v>#DIV/0!</v>
      </c>
      <c r="N43" s="98">
        <f t="shared" si="6"/>
        <v>0</v>
      </c>
    </row>
    <row r="44" spans="1:14" s="99" customFormat="1" ht="15" customHeight="1">
      <c r="A44" s="73" t="s">
        <v>80</v>
      </c>
      <c r="B44" s="65">
        <v>84.1874</v>
      </c>
      <c r="C44" s="65">
        <v>3</v>
      </c>
      <c r="D44" s="85"/>
      <c r="E44" s="65">
        <v>59.55713</v>
      </c>
      <c r="F44" s="96"/>
      <c r="G44" s="85">
        <f>E44</f>
        <v>59.55713</v>
      </c>
      <c r="H44" s="135">
        <f t="shared" si="11"/>
        <v>0</v>
      </c>
      <c r="I44" s="93">
        <f t="shared" si="10"/>
        <v>0</v>
      </c>
      <c r="J44" s="93">
        <f t="shared" si="8"/>
        <v>0.7074351981412896</v>
      </c>
      <c r="K44" s="85"/>
      <c r="L44" s="85"/>
      <c r="M44" s="98" t="e">
        <f t="shared" si="6"/>
        <v>#DIV/0!</v>
      </c>
      <c r="N44" s="98">
        <f t="shared" si="6"/>
        <v>0</v>
      </c>
    </row>
    <row r="45" spans="1:14" s="99" customFormat="1" ht="15" customHeight="1">
      <c r="A45" s="73" t="s">
        <v>78</v>
      </c>
      <c r="B45" s="65">
        <v>4693.77055</v>
      </c>
      <c r="C45" s="65">
        <v>5011.68866</v>
      </c>
      <c r="D45" s="85"/>
      <c r="E45" s="65">
        <v>5303.16249</v>
      </c>
      <c r="F45" s="96"/>
      <c r="G45" s="85">
        <f>E45</f>
        <v>5303.16249</v>
      </c>
      <c r="H45" s="135">
        <f t="shared" si="11"/>
        <v>0</v>
      </c>
      <c r="I45" s="93">
        <f t="shared" si="10"/>
        <v>0</v>
      </c>
      <c r="J45" s="93">
        <f t="shared" si="8"/>
        <v>1.1298299381080739</v>
      </c>
      <c r="K45" s="85"/>
      <c r="L45" s="85"/>
      <c r="M45" s="98" t="e">
        <f t="shared" si="6"/>
        <v>#DIV/0!</v>
      </c>
      <c r="N45" s="98">
        <f t="shared" si="6"/>
        <v>0</v>
      </c>
    </row>
    <row r="46" spans="1:14" s="99" customFormat="1" ht="30.75" customHeight="1">
      <c r="A46" s="73" t="s">
        <v>79</v>
      </c>
      <c r="B46" s="65">
        <v>0</v>
      </c>
      <c r="C46" s="65"/>
      <c r="D46" s="85"/>
      <c r="E46" s="65"/>
      <c r="F46" s="85"/>
      <c r="G46" s="85">
        <f>E46</f>
        <v>0</v>
      </c>
      <c r="H46" s="135">
        <f t="shared" si="11"/>
        <v>0</v>
      </c>
      <c r="I46" s="93" t="e">
        <f t="shared" si="10"/>
        <v>#DIV/0!</v>
      </c>
      <c r="J46" s="93" t="e">
        <f t="shared" si="8"/>
        <v>#DIV/0!</v>
      </c>
      <c r="K46" s="85"/>
      <c r="L46" s="85"/>
      <c r="M46" s="98" t="e">
        <f t="shared" si="6"/>
        <v>#DIV/0!</v>
      </c>
      <c r="N46" s="98" t="e">
        <f t="shared" si="6"/>
        <v>#DIV/0!</v>
      </c>
    </row>
    <row r="47" spans="1:14" s="99" customFormat="1" ht="30.75" customHeight="1">
      <c r="A47" s="136" t="s">
        <v>82</v>
      </c>
      <c r="B47" s="65">
        <v>2814.7823</v>
      </c>
      <c r="C47" s="65">
        <f>SUM(C48:C54)</f>
        <v>1781.51537</v>
      </c>
      <c r="D47" s="85"/>
      <c r="E47" s="65">
        <f>SUM(E48:E54)</f>
        <v>2116.7444299999997</v>
      </c>
      <c r="F47" s="96"/>
      <c r="G47" s="65">
        <f>SUM(G48:G54)</f>
        <v>2116.7444299999997</v>
      </c>
      <c r="H47" s="135">
        <f>G47-E47</f>
        <v>0</v>
      </c>
      <c r="I47" s="93">
        <f t="shared" si="10"/>
        <v>0</v>
      </c>
      <c r="J47" s="93">
        <f t="shared" si="8"/>
        <v>0.752009997362851</v>
      </c>
      <c r="K47" s="85"/>
      <c r="L47" s="85"/>
      <c r="M47" s="98" t="e">
        <f t="shared" si="6"/>
        <v>#DIV/0!</v>
      </c>
      <c r="N47" s="98">
        <f t="shared" si="6"/>
        <v>0</v>
      </c>
    </row>
    <row r="48" spans="1:14" s="99" customFormat="1" ht="30.75" customHeight="1">
      <c r="A48" s="136" t="s">
        <v>210</v>
      </c>
      <c r="B48" s="65"/>
      <c r="C48" s="65">
        <v>0</v>
      </c>
      <c r="D48" s="85"/>
      <c r="E48" s="65">
        <v>1.1284</v>
      </c>
      <c r="F48" s="96"/>
      <c r="G48" s="85">
        <f>E48</f>
        <v>1.1284</v>
      </c>
      <c r="H48" s="135"/>
      <c r="I48" s="93"/>
      <c r="J48" s="93"/>
      <c r="K48" s="85"/>
      <c r="L48" s="85"/>
      <c r="M48" s="98"/>
      <c r="N48" s="98"/>
    </row>
    <row r="49" spans="1:14" s="99" customFormat="1" ht="15" customHeight="1">
      <c r="A49" s="174" t="s">
        <v>204</v>
      </c>
      <c r="B49" s="65"/>
      <c r="C49" s="65"/>
      <c r="D49" s="85"/>
      <c r="E49" s="65"/>
      <c r="F49" s="85"/>
      <c r="G49" s="85">
        <f aca="true" t="shared" si="13" ref="G49:G56">E49</f>
        <v>0</v>
      </c>
      <c r="H49" s="135">
        <f t="shared" si="11"/>
        <v>0</v>
      </c>
      <c r="I49" s="93" t="e">
        <f t="shared" si="10"/>
        <v>#DIV/0!</v>
      </c>
      <c r="J49" s="93" t="e">
        <f t="shared" si="8"/>
        <v>#DIV/0!</v>
      </c>
      <c r="K49" s="85"/>
      <c r="L49" s="85"/>
      <c r="M49" s="98" t="e">
        <f t="shared" si="6"/>
        <v>#DIV/0!</v>
      </c>
      <c r="N49" s="98" t="e">
        <f t="shared" si="6"/>
        <v>#DIV/0!</v>
      </c>
    </row>
    <row r="50" spans="1:14" s="99" customFormat="1" ht="15" customHeight="1">
      <c r="A50" s="174" t="s">
        <v>205</v>
      </c>
      <c r="B50" s="65"/>
      <c r="C50" s="65">
        <v>1555.48528</v>
      </c>
      <c r="D50" s="85"/>
      <c r="E50" s="65">
        <v>1531.55442</v>
      </c>
      <c r="F50" s="85"/>
      <c r="G50" s="85">
        <f t="shared" si="13"/>
        <v>1531.55442</v>
      </c>
      <c r="H50" s="135"/>
      <c r="I50" s="93"/>
      <c r="J50" s="93"/>
      <c r="K50" s="85"/>
      <c r="L50" s="85"/>
      <c r="M50" s="98"/>
      <c r="N50" s="98"/>
    </row>
    <row r="51" spans="1:14" s="99" customFormat="1" ht="15" customHeight="1">
      <c r="A51" s="174" t="s">
        <v>211</v>
      </c>
      <c r="B51" s="65"/>
      <c r="C51" s="65">
        <v>0</v>
      </c>
      <c r="D51" s="85"/>
      <c r="E51" s="65">
        <v>206.16311</v>
      </c>
      <c r="F51" s="85"/>
      <c r="G51" s="85">
        <f t="shared" si="13"/>
        <v>206.16311</v>
      </c>
      <c r="H51" s="135"/>
      <c r="I51" s="93"/>
      <c r="J51" s="93"/>
      <c r="K51" s="85"/>
      <c r="L51" s="85"/>
      <c r="M51" s="98"/>
      <c r="N51" s="98"/>
    </row>
    <row r="52" spans="1:14" s="99" customFormat="1" ht="15" customHeight="1">
      <c r="A52" s="174" t="s">
        <v>212</v>
      </c>
      <c r="B52" s="65"/>
      <c r="C52" s="65">
        <v>0</v>
      </c>
      <c r="D52" s="85"/>
      <c r="E52" s="65">
        <v>11.53259</v>
      </c>
      <c r="F52" s="85"/>
      <c r="G52" s="85">
        <f t="shared" si="13"/>
        <v>11.53259</v>
      </c>
      <c r="H52" s="135"/>
      <c r="I52" s="93"/>
      <c r="J52" s="93"/>
      <c r="K52" s="85"/>
      <c r="L52" s="85"/>
      <c r="M52" s="98"/>
      <c r="N52" s="98"/>
    </row>
    <row r="53" spans="1:14" s="99" customFormat="1" ht="25.5" customHeight="1">
      <c r="A53" s="174" t="s">
        <v>213</v>
      </c>
      <c r="B53" s="65"/>
      <c r="C53" s="65">
        <v>226.03009</v>
      </c>
      <c r="E53" s="65">
        <v>355.86591</v>
      </c>
      <c r="F53" s="85"/>
      <c r="G53" s="85">
        <f t="shared" si="13"/>
        <v>355.86591</v>
      </c>
      <c r="H53" s="135"/>
      <c r="I53" s="93"/>
      <c r="J53" s="93"/>
      <c r="K53" s="85"/>
      <c r="L53" s="85"/>
      <c r="M53" s="98"/>
      <c r="N53" s="98"/>
    </row>
    <row r="54" spans="1:14" s="99" customFormat="1" ht="25.5" customHeight="1">
      <c r="A54" s="174" t="s">
        <v>214</v>
      </c>
      <c r="B54" s="65"/>
      <c r="C54" s="65">
        <v>0</v>
      </c>
      <c r="D54" s="85"/>
      <c r="E54" s="65">
        <v>10.5</v>
      </c>
      <c r="F54" s="85"/>
      <c r="G54" s="85">
        <f t="shared" si="13"/>
        <v>10.5</v>
      </c>
      <c r="H54" s="135"/>
      <c r="I54" s="93"/>
      <c r="J54" s="93"/>
      <c r="K54" s="85"/>
      <c r="L54" s="85"/>
      <c r="M54" s="98"/>
      <c r="N54" s="98"/>
    </row>
    <row r="55" spans="1:14" s="99" customFormat="1" ht="29.25" customHeight="1">
      <c r="A55" s="136" t="s">
        <v>128</v>
      </c>
      <c r="B55" s="65">
        <v>1194.53507</v>
      </c>
      <c r="C55" s="65">
        <v>964.1</v>
      </c>
      <c r="D55" s="85"/>
      <c r="E55" s="65">
        <v>964.56604</v>
      </c>
      <c r="F55" s="85"/>
      <c r="G55" s="85">
        <f t="shared" si="13"/>
        <v>964.56604</v>
      </c>
      <c r="H55" s="135">
        <f t="shared" si="11"/>
        <v>0</v>
      </c>
      <c r="I55" s="93">
        <f t="shared" si="10"/>
        <v>0</v>
      </c>
      <c r="J55" s="93">
        <f t="shared" si="8"/>
        <v>0.8074823956403391</v>
      </c>
      <c r="K55" s="85"/>
      <c r="L55" s="85"/>
      <c r="M55" s="98" t="e">
        <f t="shared" si="6"/>
        <v>#DIV/0!</v>
      </c>
      <c r="N55" s="98">
        <f t="shared" si="6"/>
        <v>0</v>
      </c>
    </row>
    <row r="56" spans="1:14" s="100" customFormat="1" ht="18" customHeight="1">
      <c r="A56" s="101" t="s">
        <v>124</v>
      </c>
      <c r="B56" s="65">
        <v>348.37806</v>
      </c>
      <c r="C56" s="65">
        <v>298</v>
      </c>
      <c r="D56" s="65"/>
      <c r="E56" s="65">
        <v>377.38286</v>
      </c>
      <c r="F56" s="96"/>
      <c r="G56" s="85">
        <f t="shared" si="13"/>
        <v>377.38286</v>
      </c>
      <c r="H56" s="67">
        <f t="shared" si="11"/>
        <v>0</v>
      </c>
      <c r="I56" s="93">
        <f t="shared" si="10"/>
        <v>0</v>
      </c>
      <c r="J56" s="93">
        <f t="shared" si="8"/>
        <v>1.0832566781042412</v>
      </c>
      <c r="K56" s="85"/>
      <c r="L56" s="85"/>
      <c r="M56" s="98" t="e">
        <f t="shared" si="6"/>
        <v>#DIV/0!</v>
      </c>
      <c r="N56" s="98">
        <f t="shared" si="6"/>
        <v>0</v>
      </c>
    </row>
    <row r="57" spans="1:14" ht="33" customHeight="1">
      <c r="A57" s="63" t="s">
        <v>123</v>
      </c>
      <c r="B57" s="68" t="e">
        <f>B38/B7</f>
        <v>#DIV/0!</v>
      </c>
      <c r="C57" s="68" t="e">
        <f>C38/C7</f>
        <v>#DIV/0!</v>
      </c>
      <c r="D57" s="68"/>
      <c r="E57" s="68" t="e">
        <f>E38/E7</f>
        <v>#DIV/0!</v>
      </c>
      <c r="F57" s="68" t="e">
        <f>F38/F7</f>
        <v>#DIV/0!</v>
      </c>
      <c r="G57" s="68" t="e">
        <f>G38/G7</f>
        <v>#DIV/0!</v>
      </c>
      <c r="H57" s="102" t="e">
        <f t="shared" si="11"/>
        <v>#DIV/0!</v>
      </c>
      <c r="I57" s="68" t="e">
        <f t="shared" si="10"/>
        <v>#DIV/0!</v>
      </c>
      <c r="J57" s="68" t="e">
        <f t="shared" si="8"/>
        <v>#DIV/0!</v>
      </c>
      <c r="K57" s="68" t="e">
        <f>K38/K7</f>
        <v>#DIV/0!</v>
      </c>
      <c r="L57" s="68" t="e">
        <f>L38/L7</f>
        <v>#DIV/0!</v>
      </c>
      <c r="M57" s="68" t="e">
        <f t="shared" si="6"/>
        <v>#DIV/0!</v>
      </c>
      <c r="N57" s="68" t="e">
        <f t="shared" si="6"/>
        <v>#DIV/0!</v>
      </c>
    </row>
    <row r="58" spans="1:14" ht="18" customHeight="1">
      <c r="A58" s="63" t="s">
        <v>73</v>
      </c>
      <c r="B58" s="68" t="e">
        <f>B39/B7</f>
        <v>#DIV/0!</v>
      </c>
      <c r="C58" s="68" t="e">
        <f>C39/C7</f>
        <v>#DIV/0!</v>
      </c>
      <c r="D58" s="68"/>
      <c r="E58" s="68" t="e">
        <f>E39/E7</f>
        <v>#DIV/0!</v>
      </c>
      <c r="F58" s="68" t="e">
        <f>F39/F7</f>
        <v>#DIV/0!</v>
      </c>
      <c r="G58" s="68" t="e">
        <f>G39/G7</f>
        <v>#DIV/0!</v>
      </c>
      <c r="H58" s="102" t="e">
        <f t="shared" si="11"/>
        <v>#DIV/0!</v>
      </c>
      <c r="I58" s="68" t="e">
        <f t="shared" si="10"/>
        <v>#DIV/0!</v>
      </c>
      <c r="J58" s="68" t="e">
        <f t="shared" si="8"/>
        <v>#DIV/0!</v>
      </c>
      <c r="K58" s="68" t="e">
        <f>K39/K7</f>
        <v>#DIV/0!</v>
      </c>
      <c r="L58" s="68" t="e">
        <f>L39/L7</f>
        <v>#DIV/0!</v>
      </c>
      <c r="M58" s="68" t="e">
        <f t="shared" si="6"/>
        <v>#DIV/0!</v>
      </c>
      <c r="N58" s="68" t="e">
        <f t="shared" si="6"/>
        <v>#DIV/0!</v>
      </c>
    </row>
    <row r="59" spans="1:14" s="82" customFormat="1" ht="30" customHeight="1">
      <c r="A59" s="57" t="s">
        <v>74</v>
      </c>
      <c r="B59" s="58">
        <f>B60+B61+B62+B65+B66+B67+B63+B64</f>
        <v>2237.46839</v>
      </c>
      <c r="C59" s="58">
        <f>C60+C61+C62+C65+C66+C67</f>
        <v>21</v>
      </c>
      <c r="D59" s="58">
        <f>D60+D61+D62+D65+D66+D67</f>
        <v>0</v>
      </c>
      <c r="E59" s="58">
        <f>E60+E61+E62+E65+E66+E67</f>
        <v>245.3</v>
      </c>
      <c r="F59" s="58">
        <f>F60+F61+F62+F65+F66+F67</f>
        <v>0</v>
      </c>
      <c r="G59" s="58">
        <f>G60+G61+G62+G65+G66+G67</f>
        <v>245.3</v>
      </c>
      <c r="H59" s="60">
        <f t="shared" si="11"/>
        <v>0</v>
      </c>
      <c r="I59" s="61">
        <f t="shared" si="10"/>
        <v>0</v>
      </c>
      <c r="J59" s="61">
        <f t="shared" si="8"/>
        <v>0.10963283374027913</v>
      </c>
      <c r="K59" s="58">
        <f>K60+K61+K62+K65+K66+K67</f>
        <v>0</v>
      </c>
      <c r="L59" s="58">
        <f>L60+L61+L62+L65+L66+L67</f>
        <v>0</v>
      </c>
      <c r="M59" s="61" t="e">
        <f t="shared" si="6"/>
        <v>#DIV/0!</v>
      </c>
      <c r="N59" s="61">
        <f t="shared" si="6"/>
        <v>0</v>
      </c>
    </row>
    <row r="60" spans="1:14" s="100" customFormat="1" ht="23.25" customHeight="1">
      <c r="A60" s="63" t="s">
        <v>125</v>
      </c>
      <c r="B60" s="64">
        <v>0</v>
      </c>
      <c r="C60" s="65"/>
      <c r="D60" s="65"/>
      <c r="E60" s="65"/>
      <c r="F60" s="96"/>
      <c r="G60" s="65"/>
      <c r="H60" s="67">
        <f t="shared" si="11"/>
        <v>0</v>
      </c>
      <c r="I60" s="93" t="e">
        <f t="shared" si="10"/>
        <v>#DIV/0!</v>
      </c>
      <c r="J60" s="93" t="e">
        <f t="shared" si="8"/>
        <v>#DIV/0!</v>
      </c>
      <c r="K60" s="85"/>
      <c r="L60" s="85"/>
      <c r="M60" s="98" t="e">
        <f t="shared" si="6"/>
        <v>#DIV/0!</v>
      </c>
      <c r="N60" s="98" t="e">
        <f t="shared" si="6"/>
        <v>#DIV/0!</v>
      </c>
    </row>
    <row r="61" spans="1:14" s="100" customFormat="1" ht="18" customHeight="1">
      <c r="A61" s="63" t="s">
        <v>117</v>
      </c>
      <c r="B61" s="64">
        <v>0</v>
      </c>
      <c r="C61" s="65"/>
      <c r="D61" s="65"/>
      <c r="E61" s="65"/>
      <c r="F61" s="96"/>
      <c r="G61" s="65"/>
      <c r="H61" s="67">
        <f t="shared" si="11"/>
        <v>0</v>
      </c>
      <c r="I61" s="93" t="e">
        <f t="shared" si="10"/>
        <v>#DIV/0!</v>
      </c>
      <c r="J61" s="93" t="e">
        <f t="shared" si="8"/>
        <v>#DIV/0!</v>
      </c>
      <c r="K61" s="85"/>
      <c r="L61" s="85"/>
      <c r="M61" s="98" t="e">
        <f t="shared" si="6"/>
        <v>#DIV/0!</v>
      </c>
      <c r="N61" s="98" t="e">
        <f t="shared" si="6"/>
        <v>#DIV/0!</v>
      </c>
    </row>
    <row r="62" spans="1:14" s="100" customFormat="1" ht="30.75" customHeight="1">
      <c r="A62" s="63" t="s">
        <v>126</v>
      </c>
      <c r="B62" s="64"/>
      <c r="C62" s="65"/>
      <c r="D62" s="65"/>
      <c r="E62" s="65"/>
      <c r="F62" s="96"/>
      <c r="G62" s="65"/>
      <c r="H62" s="67">
        <f t="shared" si="11"/>
        <v>0</v>
      </c>
      <c r="I62" s="93" t="e">
        <f t="shared" si="10"/>
        <v>#DIV/0!</v>
      </c>
      <c r="J62" s="93" t="e">
        <f t="shared" si="8"/>
        <v>#DIV/0!</v>
      </c>
      <c r="K62" s="85"/>
      <c r="L62" s="85"/>
      <c r="M62" s="98" t="e">
        <f t="shared" si="6"/>
        <v>#DIV/0!</v>
      </c>
      <c r="N62" s="98" t="e">
        <f t="shared" si="6"/>
        <v>#DIV/0!</v>
      </c>
    </row>
    <row r="63" spans="1:14" s="100" customFormat="1" ht="21.75" customHeight="1">
      <c r="A63" s="63" t="s">
        <v>127</v>
      </c>
      <c r="B63" s="64">
        <v>338.57883</v>
      </c>
      <c r="C63" s="65"/>
      <c r="D63" s="65"/>
      <c r="E63" s="65"/>
      <c r="F63" s="96"/>
      <c r="G63" s="65"/>
      <c r="H63" s="67">
        <f t="shared" si="11"/>
        <v>0</v>
      </c>
      <c r="I63" s="93">
        <f t="shared" si="10"/>
        <v>0</v>
      </c>
      <c r="J63" s="93">
        <f t="shared" si="8"/>
        <v>0</v>
      </c>
      <c r="K63" s="85"/>
      <c r="L63" s="85"/>
      <c r="M63" s="98" t="e">
        <f t="shared" si="6"/>
        <v>#DIV/0!</v>
      </c>
      <c r="N63" s="98" t="e">
        <f t="shared" si="6"/>
        <v>#DIV/0!</v>
      </c>
    </row>
    <row r="64" spans="1:14" s="100" customFormat="1" ht="29.25" customHeight="1">
      <c r="A64" s="63" t="s">
        <v>129</v>
      </c>
      <c r="B64" s="64"/>
      <c r="C64" s="65"/>
      <c r="D64" s="65"/>
      <c r="E64" s="65"/>
      <c r="F64" s="96"/>
      <c r="G64" s="65"/>
      <c r="H64" s="67">
        <f t="shared" si="11"/>
        <v>0</v>
      </c>
      <c r="I64" s="93" t="e">
        <f t="shared" si="10"/>
        <v>#DIV/0!</v>
      </c>
      <c r="J64" s="93" t="e">
        <f t="shared" si="8"/>
        <v>#DIV/0!</v>
      </c>
      <c r="K64" s="85"/>
      <c r="L64" s="85"/>
      <c r="M64" s="98" t="e">
        <f t="shared" si="6"/>
        <v>#DIV/0!</v>
      </c>
      <c r="N64" s="98" t="e">
        <f t="shared" si="6"/>
        <v>#DIV/0!</v>
      </c>
    </row>
    <row r="65" spans="1:14" s="100" customFormat="1" ht="31.5" customHeight="1">
      <c r="A65" s="63" t="s">
        <v>118</v>
      </c>
      <c r="B65" s="64">
        <v>843.612</v>
      </c>
      <c r="C65" s="65">
        <v>21</v>
      </c>
      <c r="D65" s="65"/>
      <c r="E65" s="65">
        <v>245.3</v>
      </c>
      <c r="F65" s="96"/>
      <c r="G65" s="65">
        <f>E65</f>
        <v>245.3</v>
      </c>
      <c r="H65" s="67">
        <f t="shared" si="11"/>
        <v>0</v>
      </c>
      <c r="I65" s="93">
        <f t="shared" si="10"/>
        <v>0</v>
      </c>
      <c r="J65" s="93">
        <f t="shared" si="8"/>
        <v>0.2907734835445679</v>
      </c>
      <c r="K65" s="85"/>
      <c r="L65" s="85"/>
      <c r="M65" s="98" t="e">
        <f t="shared" si="6"/>
        <v>#DIV/0!</v>
      </c>
      <c r="N65" s="98">
        <f t="shared" si="6"/>
        <v>0</v>
      </c>
    </row>
    <row r="66" spans="1:14" s="100" customFormat="1" ht="50.25" customHeight="1">
      <c r="A66" s="63" t="s">
        <v>119</v>
      </c>
      <c r="B66" s="64">
        <f>817.05756+238.22</f>
        <v>1055.27756</v>
      </c>
      <c r="C66" s="65"/>
      <c r="D66" s="65"/>
      <c r="E66" s="65"/>
      <c r="F66" s="96"/>
      <c r="G66" s="65">
        <f>E66</f>
        <v>0</v>
      </c>
      <c r="H66" s="67">
        <f t="shared" si="11"/>
        <v>0</v>
      </c>
      <c r="I66" s="93">
        <f t="shared" si="10"/>
        <v>0</v>
      </c>
      <c r="J66" s="93">
        <f t="shared" si="8"/>
        <v>0</v>
      </c>
      <c r="K66" s="85"/>
      <c r="L66" s="85"/>
      <c r="M66" s="98" t="e">
        <f t="shared" si="6"/>
        <v>#DIV/0!</v>
      </c>
      <c r="N66" s="98" t="e">
        <f t="shared" si="6"/>
        <v>#DIV/0!</v>
      </c>
    </row>
    <row r="67" spans="1:14" s="100" customFormat="1" ht="18" customHeight="1">
      <c r="A67" s="63" t="s">
        <v>121</v>
      </c>
      <c r="B67" s="64">
        <f>B68+B69</f>
        <v>0</v>
      </c>
      <c r="C67" s="65"/>
      <c r="D67" s="65"/>
      <c r="E67" s="65"/>
      <c r="F67" s="96"/>
      <c r="G67" s="65"/>
      <c r="H67" s="67">
        <f t="shared" si="11"/>
        <v>0</v>
      </c>
      <c r="I67" s="93" t="e">
        <f t="shared" si="10"/>
        <v>#DIV/0!</v>
      </c>
      <c r="J67" s="93" t="e">
        <f t="shared" si="8"/>
        <v>#DIV/0!</v>
      </c>
      <c r="K67" s="85"/>
      <c r="L67" s="85"/>
      <c r="M67" s="98" t="e">
        <f t="shared" si="6"/>
        <v>#DIV/0!</v>
      </c>
      <c r="N67" s="98" t="e">
        <f t="shared" si="6"/>
        <v>#DIV/0!</v>
      </c>
    </row>
    <row r="68" spans="1:14" s="99" customFormat="1" ht="14.25" customHeight="1">
      <c r="A68" s="94" t="s">
        <v>203</v>
      </c>
      <c r="B68" s="95"/>
      <c r="C68" s="96"/>
      <c r="D68" s="96"/>
      <c r="E68" s="96"/>
      <c r="F68" s="96"/>
      <c r="G68" s="96"/>
      <c r="H68" s="97">
        <f t="shared" si="11"/>
        <v>0</v>
      </c>
      <c r="I68" s="98" t="e">
        <f t="shared" si="10"/>
        <v>#DIV/0!</v>
      </c>
      <c r="J68" s="98" t="e">
        <f t="shared" si="8"/>
        <v>#DIV/0!</v>
      </c>
      <c r="K68" s="96"/>
      <c r="L68" s="96"/>
      <c r="M68" s="68" t="e">
        <f t="shared" si="6"/>
        <v>#DIV/0!</v>
      </c>
      <c r="N68" s="68" t="e">
        <f t="shared" si="6"/>
        <v>#DIV/0!</v>
      </c>
    </row>
    <row r="69" spans="1:14" s="99" customFormat="1" ht="14.25" customHeight="1">
      <c r="A69" s="94" t="s">
        <v>202</v>
      </c>
      <c r="B69" s="95"/>
      <c r="C69" s="96"/>
      <c r="D69" s="96"/>
      <c r="E69" s="96"/>
      <c r="F69" s="96"/>
      <c r="G69" s="96"/>
      <c r="H69" s="97"/>
      <c r="I69" s="98"/>
      <c r="J69" s="98"/>
      <c r="K69" s="96"/>
      <c r="L69" s="96"/>
      <c r="M69" s="68"/>
      <c r="N69" s="68"/>
    </row>
    <row r="70" spans="1:14" s="99" customFormat="1" ht="14.25" customHeight="1">
      <c r="A70" s="94"/>
      <c r="B70" s="95"/>
      <c r="C70" s="96"/>
      <c r="D70" s="96"/>
      <c r="E70" s="96"/>
      <c r="F70" s="96"/>
      <c r="G70" s="96"/>
      <c r="H70" s="97"/>
      <c r="I70" s="98"/>
      <c r="J70" s="98"/>
      <c r="K70" s="96"/>
      <c r="L70" s="96"/>
      <c r="M70" s="68"/>
      <c r="N70" s="68"/>
    </row>
    <row r="71" spans="1:37" ht="24.75" customHeight="1">
      <c r="A71" s="103" t="s">
        <v>75</v>
      </c>
      <c r="B71" s="104">
        <f>SUM(B73:B90)</f>
        <v>299.82748</v>
      </c>
      <c r="C71" s="104">
        <f>SUM(C73:C90)</f>
        <v>83.47999999999999</v>
      </c>
      <c r="D71" s="104">
        <f>SUM(D73:D90)</f>
        <v>0</v>
      </c>
      <c r="E71" s="104">
        <f>SUM(E73:E90)</f>
        <v>556.3603</v>
      </c>
      <c r="F71" s="106"/>
      <c r="G71" s="104">
        <f>SUM(G73:G90)</f>
        <v>556.3603</v>
      </c>
      <c r="H71" s="107">
        <f>G71-E71</f>
        <v>0</v>
      </c>
      <c r="I71" s="108">
        <f t="shared" si="10"/>
        <v>0</v>
      </c>
      <c r="J71" s="108">
        <f t="shared" si="8"/>
        <v>1.8556014278611157</v>
      </c>
      <c r="K71" s="106"/>
      <c r="L71" s="104">
        <f>SUM(L73:L90)</f>
        <v>2975.46</v>
      </c>
      <c r="M71" s="109" t="e">
        <f t="shared" si="6"/>
        <v>#DIV/0!</v>
      </c>
      <c r="N71" s="109">
        <f t="shared" si="6"/>
        <v>5.348081090616997</v>
      </c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</row>
    <row r="72" spans="1:37" ht="42.75" customHeight="1">
      <c r="A72" s="111" t="s">
        <v>76</v>
      </c>
      <c r="B72" s="64"/>
      <c r="C72" s="65"/>
      <c r="D72" s="65"/>
      <c r="E72" s="65"/>
      <c r="F72" s="85"/>
      <c r="G72" s="65"/>
      <c r="H72" s="67">
        <f t="shared" si="11"/>
        <v>0</v>
      </c>
      <c r="I72" s="93" t="e">
        <f t="shared" si="10"/>
        <v>#DIV/0!</v>
      </c>
      <c r="J72" s="93" t="e">
        <f t="shared" si="8"/>
        <v>#DIV/0!</v>
      </c>
      <c r="K72" s="85"/>
      <c r="L72" s="85"/>
      <c r="M72" s="68" t="e">
        <f t="shared" si="6"/>
        <v>#DIV/0!</v>
      </c>
      <c r="N72" s="68" t="e">
        <f t="shared" si="6"/>
        <v>#DIV/0!</v>
      </c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</row>
    <row r="73" spans="1:37" ht="106.5" customHeight="1">
      <c r="A73" s="63" t="s">
        <v>182</v>
      </c>
      <c r="B73" s="64">
        <v>63.48</v>
      </c>
      <c r="C73" s="65">
        <v>63.48</v>
      </c>
      <c r="D73" s="65"/>
      <c r="E73" s="65">
        <v>63.48</v>
      </c>
      <c r="F73" s="85"/>
      <c r="G73" s="65">
        <f>E73</f>
        <v>63.48</v>
      </c>
      <c r="H73" s="67">
        <f t="shared" si="11"/>
        <v>0</v>
      </c>
      <c r="I73" s="93">
        <f t="shared" si="10"/>
        <v>0</v>
      </c>
      <c r="J73" s="93">
        <f t="shared" si="8"/>
        <v>1</v>
      </c>
      <c r="K73" s="85"/>
      <c r="L73" s="85">
        <v>63.48</v>
      </c>
      <c r="M73" s="68"/>
      <c r="N73" s="68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</row>
    <row r="74" spans="1:37" ht="61.5" customHeight="1">
      <c r="A74" s="63" t="s">
        <v>183</v>
      </c>
      <c r="B74" s="64">
        <v>206.34748</v>
      </c>
      <c r="C74" s="65">
        <v>20</v>
      </c>
      <c r="D74" s="65"/>
      <c r="E74" s="65">
        <v>208.3803</v>
      </c>
      <c r="F74" s="85"/>
      <c r="G74" s="65">
        <f>E74</f>
        <v>208.3803</v>
      </c>
      <c r="H74" s="67"/>
      <c r="I74" s="93"/>
      <c r="J74" s="93"/>
      <c r="K74" s="85"/>
      <c r="L74" s="85">
        <v>20</v>
      </c>
      <c r="M74" s="68"/>
      <c r="N74" s="68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</row>
    <row r="75" spans="1:37" ht="51" customHeight="1">
      <c r="A75" s="63" t="s">
        <v>184</v>
      </c>
      <c r="B75" s="64"/>
      <c r="C75" s="65"/>
      <c r="D75" s="65"/>
      <c r="E75" s="65"/>
      <c r="F75" s="85"/>
      <c r="G75" s="65"/>
      <c r="H75" s="67">
        <f t="shared" si="11"/>
        <v>0</v>
      </c>
      <c r="I75" s="93" t="e">
        <f t="shared" si="10"/>
        <v>#DIV/0!</v>
      </c>
      <c r="J75" s="93" t="e">
        <f t="shared" si="8"/>
        <v>#DIV/0!</v>
      </c>
      <c r="K75" s="85"/>
      <c r="L75" s="85">
        <v>824.95</v>
      </c>
      <c r="M75" s="68"/>
      <c r="N75" s="68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</row>
    <row r="76" spans="1:37" ht="110.25" customHeight="1">
      <c r="A76" s="63" t="s">
        <v>185</v>
      </c>
      <c r="B76" s="64"/>
      <c r="C76" s="65"/>
      <c r="D76" s="65"/>
      <c r="E76" s="65"/>
      <c r="F76" s="85"/>
      <c r="G76" s="65"/>
      <c r="H76" s="67">
        <f t="shared" si="11"/>
        <v>0</v>
      </c>
      <c r="I76" s="93" t="e">
        <f t="shared" si="10"/>
        <v>#DIV/0!</v>
      </c>
      <c r="J76" s="93" t="e">
        <f t="shared" si="8"/>
        <v>#DIV/0!</v>
      </c>
      <c r="K76" s="85"/>
      <c r="L76" s="85">
        <v>53.9</v>
      </c>
      <c r="M76" s="68"/>
      <c r="N76" s="68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</row>
    <row r="77" spans="1:37" ht="126" customHeight="1">
      <c r="A77" s="63" t="s">
        <v>194</v>
      </c>
      <c r="B77" s="64"/>
      <c r="C77" s="65"/>
      <c r="D77" s="65"/>
      <c r="E77" s="65"/>
      <c r="F77" s="85"/>
      <c r="G77" s="65"/>
      <c r="H77" s="67">
        <f t="shared" si="11"/>
        <v>0</v>
      </c>
      <c r="I77" s="93"/>
      <c r="J77" s="93"/>
      <c r="K77" s="85"/>
      <c r="L77" s="85"/>
      <c r="M77" s="68"/>
      <c r="N77" s="68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</row>
    <row r="78" spans="1:37" ht="81" customHeight="1">
      <c r="A78" s="63" t="s">
        <v>186</v>
      </c>
      <c r="B78" s="64">
        <v>30</v>
      </c>
      <c r="C78" s="65"/>
      <c r="D78" s="65"/>
      <c r="E78" s="65">
        <v>102</v>
      </c>
      <c r="F78" s="85"/>
      <c r="G78" s="65">
        <f>E78</f>
        <v>102</v>
      </c>
      <c r="H78" s="67">
        <f t="shared" si="11"/>
        <v>0</v>
      </c>
      <c r="I78" s="93">
        <f t="shared" si="10"/>
        <v>0</v>
      </c>
      <c r="J78" s="93">
        <f t="shared" si="8"/>
        <v>3.4</v>
      </c>
      <c r="K78" s="85"/>
      <c r="L78" s="85">
        <v>30</v>
      </c>
      <c r="M78" s="68"/>
      <c r="N78" s="68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</row>
    <row r="79" spans="1:37" ht="48" customHeight="1">
      <c r="A79" s="63" t="s">
        <v>187</v>
      </c>
      <c r="B79" s="64"/>
      <c r="C79" s="65"/>
      <c r="D79" s="65"/>
      <c r="E79" s="65"/>
      <c r="F79" s="85"/>
      <c r="G79" s="65"/>
      <c r="H79" s="67"/>
      <c r="I79" s="93" t="e">
        <f t="shared" si="10"/>
        <v>#DIV/0!</v>
      </c>
      <c r="J79" s="93" t="e">
        <f t="shared" si="8"/>
        <v>#DIV/0!</v>
      </c>
      <c r="K79" s="85"/>
      <c r="L79" s="85"/>
      <c r="M79" s="68"/>
      <c r="N79" s="68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</row>
    <row r="80" spans="1:37" ht="32.25" customHeight="1">
      <c r="A80" s="63" t="s">
        <v>195</v>
      </c>
      <c r="B80" s="64"/>
      <c r="C80" s="65"/>
      <c r="D80" s="65"/>
      <c r="E80" s="65">
        <v>5</v>
      </c>
      <c r="F80" s="85"/>
      <c r="G80" s="65">
        <f>E80</f>
        <v>5</v>
      </c>
      <c r="H80" s="67"/>
      <c r="I80" s="93"/>
      <c r="J80" s="93"/>
      <c r="K80" s="85"/>
      <c r="L80" s="85"/>
      <c r="M80" s="68"/>
      <c r="N80" s="68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</row>
    <row r="81" spans="1:37" ht="82.5" customHeight="1">
      <c r="A81" s="63" t="s">
        <v>188</v>
      </c>
      <c r="B81" s="64"/>
      <c r="C81" s="65"/>
      <c r="D81" s="65"/>
      <c r="E81" s="65"/>
      <c r="F81" s="85"/>
      <c r="G81" s="65"/>
      <c r="H81" s="67"/>
      <c r="I81" s="93" t="e">
        <f t="shared" si="10"/>
        <v>#DIV/0!</v>
      </c>
      <c r="J81" s="93" t="e">
        <f t="shared" si="8"/>
        <v>#DIV/0!</v>
      </c>
      <c r="K81" s="85"/>
      <c r="L81" s="85"/>
      <c r="M81" s="68"/>
      <c r="N81" s="68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</row>
    <row r="82" spans="1:14" s="99" customFormat="1" ht="144.75" customHeight="1">
      <c r="A82" s="63" t="s">
        <v>189</v>
      </c>
      <c r="B82" s="95"/>
      <c r="C82" s="96"/>
      <c r="D82" s="96"/>
      <c r="E82" s="96"/>
      <c r="F82" s="96"/>
      <c r="G82" s="96"/>
      <c r="H82" s="97">
        <f t="shared" si="11"/>
        <v>0</v>
      </c>
      <c r="I82" s="98" t="e">
        <f t="shared" si="10"/>
        <v>#DIV/0!</v>
      </c>
      <c r="J82" s="98" t="e">
        <f t="shared" si="8"/>
        <v>#DIV/0!</v>
      </c>
      <c r="K82" s="96"/>
      <c r="L82" s="96">
        <v>250</v>
      </c>
      <c r="M82" s="68" t="e">
        <f t="shared" si="6"/>
        <v>#DIV/0!</v>
      </c>
      <c r="N82" s="68" t="e">
        <f t="shared" si="6"/>
        <v>#DIV/0!</v>
      </c>
    </row>
    <row r="83" spans="1:14" s="99" customFormat="1" ht="93" customHeight="1">
      <c r="A83" s="63" t="s">
        <v>190</v>
      </c>
      <c r="B83" s="95"/>
      <c r="C83" s="96"/>
      <c r="D83" s="96"/>
      <c r="E83" s="96">
        <v>177.5</v>
      </c>
      <c r="F83" s="96"/>
      <c r="G83" s="96">
        <f>E83</f>
        <v>177.5</v>
      </c>
      <c r="H83" s="97"/>
      <c r="I83" s="98" t="e">
        <f t="shared" si="10"/>
        <v>#DIV/0!</v>
      </c>
      <c r="J83" s="98" t="e">
        <f t="shared" si="8"/>
        <v>#DIV/0!</v>
      </c>
      <c r="K83" s="96"/>
      <c r="L83" s="96">
        <v>500</v>
      </c>
      <c r="M83" s="68"/>
      <c r="N83" s="68"/>
    </row>
    <row r="84" spans="1:14" s="99" customFormat="1" ht="64.5" customHeight="1">
      <c r="A84" s="63" t="s">
        <v>196</v>
      </c>
      <c r="B84" s="95"/>
      <c r="C84" s="96"/>
      <c r="D84" s="96"/>
      <c r="E84" s="96"/>
      <c r="F84" s="96"/>
      <c r="G84" s="96"/>
      <c r="H84" s="97"/>
      <c r="I84" s="98"/>
      <c r="J84" s="98"/>
      <c r="K84" s="96"/>
      <c r="L84" s="96"/>
      <c r="M84" s="68"/>
      <c r="N84" s="68"/>
    </row>
    <row r="85" spans="1:14" s="99" customFormat="1" ht="64.5" customHeight="1">
      <c r="A85" s="63" t="s">
        <v>197</v>
      </c>
      <c r="B85" s="95"/>
      <c r="C85" s="96"/>
      <c r="D85" s="96"/>
      <c r="E85" s="96"/>
      <c r="F85" s="96"/>
      <c r="G85" s="96"/>
      <c r="H85" s="97"/>
      <c r="I85" s="98"/>
      <c r="J85" s="98"/>
      <c r="K85" s="96"/>
      <c r="L85" s="96"/>
      <c r="M85" s="68"/>
      <c r="N85" s="68"/>
    </row>
    <row r="86" spans="1:14" s="99" customFormat="1" ht="50.25" customHeight="1">
      <c r="A86" s="63" t="s">
        <v>200</v>
      </c>
      <c r="B86" s="95"/>
      <c r="C86" s="96"/>
      <c r="D86" s="96"/>
      <c r="E86" s="96"/>
      <c r="F86" s="96"/>
      <c r="G86" s="96"/>
      <c r="H86" s="97"/>
      <c r="I86" s="98"/>
      <c r="J86" s="98"/>
      <c r="K86" s="96"/>
      <c r="L86" s="96"/>
      <c r="M86" s="68"/>
      <c r="N86" s="68"/>
    </row>
    <row r="87" spans="1:14" s="99" customFormat="1" ht="46.5" customHeight="1">
      <c r="A87" s="63" t="s">
        <v>191</v>
      </c>
      <c r="B87" s="95"/>
      <c r="C87" s="96"/>
      <c r="D87" s="96"/>
      <c r="E87" s="96"/>
      <c r="F87" s="96"/>
      <c r="G87" s="96"/>
      <c r="H87" s="97"/>
      <c r="I87" s="98" t="e">
        <f t="shared" si="10"/>
        <v>#DIV/0!</v>
      </c>
      <c r="J87" s="98" t="e">
        <f t="shared" si="8"/>
        <v>#DIV/0!</v>
      </c>
      <c r="K87" s="96"/>
      <c r="L87" s="96">
        <v>933.13</v>
      </c>
      <c r="M87" s="68"/>
      <c r="N87" s="68"/>
    </row>
    <row r="88" spans="1:14" s="99" customFormat="1" ht="59.25" customHeight="1">
      <c r="A88" s="63" t="s">
        <v>199</v>
      </c>
      <c r="B88" s="95"/>
      <c r="C88" s="96"/>
      <c r="D88" s="96"/>
      <c r="E88" s="96"/>
      <c r="F88" s="96"/>
      <c r="G88" s="96"/>
      <c r="H88" s="97"/>
      <c r="I88" s="98" t="e">
        <f t="shared" si="10"/>
        <v>#DIV/0!</v>
      </c>
      <c r="J88" s="98" t="e">
        <f t="shared" si="8"/>
        <v>#DIV/0!</v>
      </c>
      <c r="K88" s="96"/>
      <c r="L88" s="96"/>
      <c r="M88" s="68"/>
      <c r="N88" s="68"/>
    </row>
    <row r="89" spans="1:14" s="99" customFormat="1" ht="108.75" customHeight="1">
      <c r="A89" s="63" t="s">
        <v>192</v>
      </c>
      <c r="B89" s="95"/>
      <c r="C89" s="96"/>
      <c r="D89" s="96"/>
      <c r="E89" s="96"/>
      <c r="F89" s="96"/>
      <c r="G89" s="96"/>
      <c r="H89" s="97"/>
      <c r="I89" s="98" t="e">
        <f t="shared" si="10"/>
        <v>#DIV/0!</v>
      </c>
      <c r="J89" s="98" t="e">
        <f t="shared" si="8"/>
        <v>#DIV/0!</v>
      </c>
      <c r="K89" s="96"/>
      <c r="L89" s="96"/>
      <c r="M89" s="68"/>
      <c r="N89" s="68"/>
    </row>
    <row r="90" spans="1:14" s="99" customFormat="1" ht="106.5" customHeight="1">
      <c r="A90" s="63" t="s">
        <v>193</v>
      </c>
      <c r="B90" s="95"/>
      <c r="C90" s="96"/>
      <c r="D90" s="96"/>
      <c r="E90" s="96"/>
      <c r="F90" s="96"/>
      <c r="G90" s="96"/>
      <c r="H90" s="97"/>
      <c r="I90" s="98" t="e">
        <f t="shared" si="10"/>
        <v>#DIV/0!</v>
      </c>
      <c r="J90" s="98" t="e">
        <f t="shared" si="8"/>
        <v>#DIV/0!</v>
      </c>
      <c r="K90" s="96"/>
      <c r="L90" s="96">
        <v>300</v>
      </c>
      <c r="M90" s="68"/>
      <c r="N90" s="68"/>
    </row>
    <row r="91" spans="1:14" s="99" customFormat="1" ht="91.5" customHeight="1">
      <c r="A91" s="63" t="s">
        <v>198</v>
      </c>
      <c r="B91" s="95"/>
      <c r="C91" s="96"/>
      <c r="D91" s="96"/>
      <c r="E91" s="96"/>
      <c r="F91" s="96"/>
      <c r="G91" s="96"/>
      <c r="H91" s="97"/>
      <c r="I91" s="98"/>
      <c r="J91" s="98"/>
      <c r="K91" s="96"/>
      <c r="L91" s="96">
        <v>235</v>
      </c>
      <c r="M91" s="68"/>
      <c r="N91" s="68"/>
    </row>
    <row r="92" spans="1:37" ht="18.75" customHeight="1">
      <c r="A92" s="103" t="s">
        <v>132</v>
      </c>
      <c r="B92" s="104"/>
      <c r="C92" s="105"/>
      <c r="D92" s="105"/>
      <c r="E92" s="105"/>
      <c r="F92" s="106"/>
      <c r="G92" s="105"/>
      <c r="H92" s="107">
        <f t="shared" si="11"/>
        <v>0</v>
      </c>
      <c r="I92" s="108" t="e">
        <f t="shared" si="10"/>
        <v>#DIV/0!</v>
      </c>
      <c r="J92" s="108" t="e">
        <f t="shared" si="8"/>
        <v>#DIV/0!</v>
      </c>
      <c r="K92" s="106"/>
      <c r="L92" s="106"/>
      <c r="M92" s="109" t="e">
        <f t="shared" si="6"/>
        <v>#DIV/0!</v>
      </c>
      <c r="N92" s="109" t="e">
        <f t="shared" si="6"/>
        <v>#DIV/0!</v>
      </c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</row>
    <row r="93" spans="1:37" ht="22.5" customHeight="1">
      <c r="A93" s="51" t="s">
        <v>15</v>
      </c>
      <c r="B93" s="52">
        <f>B7-B36</f>
        <v>-20606.132879999997</v>
      </c>
      <c r="C93" s="52">
        <f>C7-C36</f>
        <v>-18073.359839999997</v>
      </c>
      <c r="D93" s="52"/>
      <c r="E93" s="52">
        <f>E7-E36</f>
        <v>-19601.27691</v>
      </c>
      <c r="F93" s="52">
        <f>F7-F36</f>
        <v>0</v>
      </c>
      <c r="G93" s="52">
        <f>G7-G36</f>
        <v>-18636.71087</v>
      </c>
      <c r="H93" s="52"/>
      <c r="I93" s="52"/>
      <c r="J93" s="52"/>
      <c r="K93" s="52">
        <f>K7-K36</f>
        <v>0</v>
      </c>
      <c r="L93" s="52">
        <f>L7-L36</f>
        <v>-2975.46</v>
      </c>
      <c r="M93" s="112"/>
      <c r="N93" s="112"/>
      <c r="O93" s="113"/>
      <c r="P93" s="113"/>
      <c r="Q93" s="113"/>
      <c r="R93" s="113"/>
      <c r="S93" s="113"/>
      <c r="T93" s="113"/>
      <c r="U93" s="113"/>
      <c r="V93" s="113"/>
      <c r="W93" s="113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</row>
    <row r="94" spans="1:14" s="115" customFormat="1" ht="17.25" customHeight="1">
      <c r="A94" s="93" t="s">
        <v>29</v>
      </c>
      <c r="B94" s="85" t="e">
        <f>(B93-B96)/(B8-B25)</f>
        <v>#DIV/0!</v>
      </c>
      <c r="C94" s="85" t="e">
        <f>(C93-C96)/(C8-C25)</f>
        <v>#DIV/0!</v>
      </c>
      <c r="D94" s="66" t="s">
        <v>3</v>
      </c>
      <c r="E94" s="85" t="e">
        <f>(E93-E96)/(E8-E25)</f>
        <v>#DIV/0!</v>
      </c>
      <c r="F94" s="85" t="e">
        <f>(F93-F96)/(F8-F25)</f>
        <v>#DIV/0!</v>
      </c>
      <c r="G94" s="85" t="e">
        <f>(G93-G96)/(G8-G25)</f>
        <v>#DIV/0!</v>
      </c>
      <c r="H94" s="85"/>
      <c r="I94" s="85"/>
      <c r="J94" s="85"/>
      <c r="K94" s="85" t="e">
        <f>(K93-K96)/(K8-K25)</f>
        <v>#DIV/0!</v>
      </c>
      <c r="L94" s="85" t="e">
        <f>(L93-L96)/(L8-L25)</f>
        <v>#DIV/0!</v>
      </c>
      <c r="M94" s="114"/>
      <c r="N94" s="114"/>
    </row>
    <row r="95" spans="1:14" ht="24" customHeight="1">
      <c r="A95" s="51" t="s">
        <v>30</v>
      </c>
      <c r="B95" s="52">
        <f>SUM(B96:B101)-B98</f>
        <v>0</v>
      </c>
      <c r="C95" s="52">
        <f>SUM(C96:C101)-C98</f>
        <v>0</v>
      </c>
      <c r="D95" s="52"/>
      <c r="E95" s="52">
        <f>SUM(E96:E101)-E98</f>
        <v>0</v>
      </c>
      <c r="F95" s="52">
        <f>SUM(F96:F101)-F98</f>
        <v>0</v>
      </c>
      <c r="G95" s="52">
        <f>SUM(G96:G101)-G98</f>
        <v>0</v>
      </c>
      <c r="H95" s="52"/>
      <c r="I95" s="52"/>
      <c r="J95" s="52"/>
      <c r="K95" s="52">
        <f>SUM(K96:K101)-K98</f>
        <v>0</v>
      </c>
      <c r="L95" s="52">
        <f>SUM(L96:L101)-L98</f>
        <v>0</v>
      </c>
      <c r="M95" s="112"/>
      <c r="N95" s="116"/>
    </row>
    <row r="96" spans="1:14" ht="17.25" customHeight="1">
      <c r="A96" s="63" t="s">
        <v>31</v>
      </c>
      <c r="B96" s="64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117"/>
      <c r="N96" s="117"/>
    </row>
    <row r="97" spans="1:14" ht="17.25" customHeight="1">
      <c r="A97" s="63" t="s">
        <v>177</v>
      </c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117"/>
      <c r="N97" s="117"/>
    </row>
    <row r="98" spans="1:14" ht="36" customHeight="1">
      <c r="A98" s="63" t="s">
        <v>32</v>
      </c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117"/>
      <c r="N98" s="117"/>
    </row>
    <row r="99" spans="1:14" ht="14.25" customHeight="1">
      <c r="A99" s="118" t="s">
        <v>33</v>
      </c>
      <c r="B99" s="119"/>
      <c r="C99" s="120"/>
      <c r="D99" s="120"/>
      <c r="E99" s="120"/>
      <c r="F99" s="65"/>
      <c r="G99" s="120"/>
      <c r="H99" s="120"/>
      <c r="I99" s="65"/>
      <c r="J99" s="65"/>
      <c r="K99" s="65"/>
      <c r="L99" s="65"/>
      <c r="M99" s="117"/>
      <c r="N99" s="117"/>
    </row>
    <row r="100" spans="1:14" ht="14.25" customHeight="1">
      <c r="A100" s="118" t="s">
        <v>34</v>
      </c>
      <c r="B100" s="119"/>
      <c r="C100" s="120"/>
      <c r="D100" s="120"/>
      <c r="E100" s="120"/>
      <c r="F100" s="65"/>
      <c r="G100" s="65"/>
      <c r="H100" s="65"/>
      <c r="I100" s="65"/>
      <c r="J100" s="65"/>
      <c r="K100" s="65"/>
      <c r="L100" s="65"/>
      <c r="M100" s="117"/>
      <c r="N100" s="117"/>
    </row>
    <row r="101" spans="1:14" ht="14.25" customHeight="1">
      <c r="A101" s="118" t="s">
        <v>35</v>
      </c>
      <c r="B101" s="119"/>
      <c r="C101" s="120"/>
      <c r="D101" s="120"/>
      <c r="E101" s="120"/>
      <c r="F101" s="65"/>
      <c r="G101" s="65"/>
      <c r="H101" s="65"/>
      <c r="I101" s="65"/>
      <c r="J101" s="65"/>
      <c r="K101" s="65"/>
      <c r="L101" s="65"/>
      <c r="M101" s="117"/>
      <c r="N101" s="117"/>
    </row>
    <row r="102" spans="1:14" ht="27" customHeight="1">
      <c r="A102" s="118" t="s">
        <v>36</v>
      </c>
      <c r="B102" s="121"/>
      <c r="C102" s="120"/>
      <c r="D102" s="122"/>
      <c r="E102" s="122"/>
      <c r="F102" s="122"/>
      <c r="G102" s="122"/>
      <c r="H102" s="122"/>
      <c r="I102" s="65"/>
      <c r="J102" s="65"/>
      <c r="K102" s="65"/>
      <c r="L102" s="65"/>
      <c r="M102" s="117"/>
      <c r="N102" s="117"/>
    </row>
    <row r="103" spans="1:14" ht="15" customHeight="1">
      <c r="A103" s="51" t="s">
        <v>37</v>
      </c>
      <c r="B103" s="103"/>
      <c r="C103" s="53"/>
      <c r="D103" s="52"/>
      <c r="E103" s="52"/>
      <c r="F103" s="53"/>
      <c r="G103" s="52"/>
      <c r="H103" s="52"/>
      <c r="I103" s="53"/>
      <c r="J103" s="53"/>
      <c r="K103" s="52"/>
      <c r="L103" s="52"/>
      <c r="M103" s="112"/>
      <c r="N103" s="116"/>
    </row>
    <row r="104" spans="1:14" s="99" customFormat="1" ht="15" customHeight="1">
      <c r="A104" s="123" t="s">
        <v>25</v>
      </c>
      <c r="B104" s="124"/>
      <c r="C104" s="125"/>
      <c r="D104" s="126"/>
      <c r="E104" s="126"/>
      <c r="F104" s="125"/>
      <c r="G104" s="126"/>
      <c r="H104" s="126"/>
      <c r="I104" s="125"/>
      <c r="J104" s="125"/>
      <c r="K104" s="126"/>
      <c r="L104" s="126"/>
      <c r="M104" s="127"/>
      <c r="N104" s="128"/>
    </row>
    <row r="105" spans="1:14" ht="32.25" customHeight="1">
      <c r="A105" s="51" t="s">
        <v>178</v>
      </c>
      <c r="B105" s="103"/>
      <c r="C105" s="53"/>
      <c r="D105" s="53"/>
      <c r="E105" s="53"/>
      <c r="F105" s="53"/>
      <c r="G105" s="53"/>
      <c r="H105" s="53"/>
      <c r="I105" s="53"/>
      <c r="J105" s="53"/>
      <c r="K105" s="52"/>
      <c r="L105" s="52"/>
      <c r="M105" s="112"/>
      <c r="N105" s="116"/>
    </row>
    <row r="106" spans="1:14" ht="15" customHeight="1">
      <c r="A106" s="51" t="s">
        <v>38</v>
      </c>
      <c r="B106" s="103" t="e">
        <f aca="true" t="shared" si="14" ref="B106:G106">B7/B105</f>
        <v>#DIV/0!</v>
      </c>
      <c r="C106" s="103" t="e">
        <f t="shared" si="14"/>
        <v>#DIV/0!</v>
      </c>
      <c r="D106" s="103" t="e">
        <f t="shared" si="14"/>
        <v>#VALUE!</v>
      </c>
      <c r="E106" s="103" t="e">
        <f t="shared" si="14"/>
        <v>#DIV/0!</v>
      </c>
      <c r="F106" s="103" t="e">
        <f t="shared" si="14"/>
        <v>#DIV/0!</v>
      </c>
      <c r="G106" s="103" t="e">
        <f t="shared" si="14"/>
        <v>#DIV/0!</v>
      </c>
      <c r="H106" s="103"/>
      <c r="I106" s="103"/>
      <c r="J106" s="103"/>
      <c r="K106" s="103" t="e">
        <f>K7/K105</f>
        <v>#DIV/0!</v>
      </c>
      <c r="L106" s="103" t="e">
        <f>L7/L105</f>
        <v>#DIV/0!</v>
      </c>
      <c r="M106" s="103"/>
      <c r="N106" s="103"/>
    </row>
    <row r="107" spans="1:14" ht="15" customHeight="1">
      <c r="A107" s="51" t="s">
        <v>39</v>
      </c>
      <c r="B107" s="103" t="e">
        <f aca="true" t="shared" si="15" ref="B107:G107">B36/B105</f>
        <v>#DIV/0!</v>
      </c>
      <c r="C107" s="103" t="e">
        <f t="shared" si="15"/>
        <v>#DIV/0!</v>
      </c>
      <c r="D107" s="103" t="e">
        <f t="shared" si="15"/>
        <v>#DIV/0!</v>
      </c>
      <c r="E107" s="103" t="e">
        <f t="shared" si="15"/>
        <v>#DIV/0!</v>
      </c>
      <c r="F107" s="103" t="e">
        <f t="shared" si="15"/>
        <v>#DIV/0!</v>
      </c>
      <c r="G107" s="103" t="e">
        <f t="shared" si="15"/>
        <v>#DIV/0!</v>
      </c>
      <c r="H107" s="103"/>
      <c r="I107" s="103"/>
      <c r="J107" s="103"/>
      <c r="K107" s="103" t="e">
        <f>K36/K105</f>
        <v>#DIV/0!</v>
      </c>
      <c r="L107" s="103" t="e">
        <f>L36/L105</f>
        <v>#DIV/0!</v>
      </c>
      <c r="M107" s="103"/>
      <c r="N107" s="103"/>
    </row>
    <row r="108" spans="1:14" ht="45.75" customHeight="1">
      <c r="A108" s="51" t="s">
        <v>40</v>
      </c>
      <c r="B108" s="103"/>
      <c r="C108" s="129"/>
      <c r="D108" s="130"/>
      <c r="E108" s="130"/>
      <c r="F108" s="131"/>
      <c r="G108" s="130"/>
      <c r="H108" s="130"/>
      <c r="I108" s="132"/>
      <c r="J108" s="132"/>
      <c r="K108" s="116"/>
      <c r="L108" s="116"/>
      <c r="M108" s="112"/>
      <c r="N108" s="116"/>
    </row>
    <row r="109" spans="1:14" ht="31.5" customHeight="1">
      <c r="A109" s="51" t="s">
        <v>41</v>
      </c>
      <c r="B109" s="133"/>
      <c r="C109" s="129"/>
      <c r="D109" s="130"/>
      <c r="E109" s="130"/>
      <c r="F109" s="131"/>
      <c r="G109" s="130"/>
      <c r="H109" s="130"/>
      <c r="I109" s="132"/>
      <c r="J109" s="132"/>
      <c r="K109" s="116"/>
      <c r="L109" s="116"/>
      <c r="M109" s="112"/>
      <c r="N109" s="116"/>
    </row>
    <row r="110" spans="1:14" ht="22.5" customHeight="1">
      <c r="A110" s="51" t="s">
        <v>42</v>
      </c>
      <c r="B110" s="133"/>
      <c r="C110" s="129"/>
      <c r="D110" s="129"/>
      <c r="E110" s="129"/>
      <c r="F110" s="129"/>
      <c r="G110" s="129"/>
      <c r="H110" s="129"/>
      <c r="I110" s="132"/>
      <c r="J110" s="132"/>
      <c r="K110" s="116"/>
      <c r="L110" s="116"/>
      <c r="M110" s="112"/>
      <c r="N110" s="116"/>
    </row>
    <row r="111" spans="1:14" ht="18.75">
      <c r="A111" s="165" t="s">
        <v>120</v>
      </c>
      <c r="B111" s="166"/>
      <c r="C111" s="166"/>
      <c r="D111" s="166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</row>
    <row r="112" spans="1:2" ht="19.5" customHeight="1">
      <c r="A112" s="36"/>
      <c r="B112" s="36"/>
    </row>
    <row r="113" spans="1:14" ht="18" customHeight="1">
      <c r="A113" s="36" t="s">
        <v>43</v>
      </c>
      <c r="B113" s="36"/>
      <c r="F113" s="134"/>
      <c r="G113" s="134"/>
      <c r="H113" s="134"/>
      <c r="I113" s="134"/>
      <c r="J113" s="134"/>
      <c r="K113" s="134"/>
      <c r="L113" s="134"/>
      <c r="M113" s="134"/>
      <c r="N113" s="134"/>
    </row>
  </sheetData>
  <sheetProtection/>
  <mergeCells count="12">
    <mergeCell ref="I4:I5"/>
    <mergeCell ref="J4:J5"/>
    <mergeCell ref="K4:L4"/>
    <mergeCell ref="M4:N4"/>
    <mergeCell ref="A2:N2"/>
    <mergeCell ref="A4:A5"/>
    <mergeCell ref="B4:B5"/>
    <mergeCell ref="C4:C5"/>
    <mergeCell ref="D4:D5"/>
    <mergeCell ref="E4:E5"/>
    <mergeCell ref="F4:G4"/>
    <mergeCell ref="H4:H5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2019-09-24T04:15:57Z</cp:lastPrinted>
  <dcterms:created xsi:type="dcterms:W3CDTF">2009-02-10T04:49:18Z</dcterms:created>
  <dcterms:modified xsi:type="dcterms:W3CDTF">2019-11-18T10:17:52Z</dcterms:modified>
  <cp:category/>
  <cp:version/>
  <cp:contentType/>
  <cp:contentStatus/>
</cp:coreProperties>
</file>