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20" windowHeight="8565" tabRatio="618" firstSheet="5" activeTab="5"/>
  </bookViews>
  <sheets>
    <sheet name="Форма 5.1." sheetId="1" state="hidden" r:id="rId1"/>
    <sheet name="Форма 5.2." sheetId="2" state="hidden" r:id="rId2"/>
    <sheet name="Форма 5.3." sheetId="3" state="hidden" r:id="rId3"/>
    <sheet name="Форма 5.4." sheetId="4" state="hidden" r:id="rId4"/>
    <sheet name="Форма 5.5." sheetId="5" state="hidden" r:id="rId5"/>
    <sheet name="Форма 5.6." sheetId="6" r:id="rId6"/>
    <sheet name="Форма 5.7." sheetId="7" state="hidden" r:id="rId7"/>
  </sheets>
  <definedNames>
    <definedName name="Z_50E4C655_CE22_4AB9_8F72_5E0E98645600_.wvu.PrintArea" localSheetId="0" hidden="1">'Форма 5.1.'!$A$1:$G$64</definedName>
    <definedName name="Z_50E4C655_CE22_4AB9_8F72_5E0E98645600_.wvu.PrintTitles" localSheetId="0" hidden="1">'Форма 5.1.'!$8:$11</definedName>
    <definedName name="Z_50E4C655_CE22_4AB9_8F72_5E0E98645600_.wvu.Rows" localSheetId="0" hidden="1">'Форма 5.1.'!#REF!</definedName>
    <definedName name="Z_5C43AB11_EAE2_4A0C_9E3B_F5D49D7C537D_.wvu.PrintArea" localSheetId="0" hidden="1">'Форма 5.1.'!$A$1:$E$64</definedName>
    <definedName name="Z_5C43AB11_EAE2_4A0C_9E3B_F5D49D7C537D_.wvu.PrintTitles" localSheetId="0" hidden="1">'Форма 5.1.'!$8:$11</definedName>
    <definedName name="Z_5C43AB11_EAE2_4A0C_9E3B_F5D49D7C537D_.wvu.Rows" localSheetId="0" hidden="1">'Форма 5.1.'!#REF!</definedName>
    <definedName name="Z_784AE35D_4A42_4ACF_B96A_AEA7554C0E6C_.wvu.PrintArea" localSheetId="0" hidden="1">'Форма 5.1.'!$A$1:$E$64</definedName>
    <definedName name="Z_784AE35D_4A42_4ACF_B96A_AEA7554C0E6C_.wvu.PrintTitles" localSheetId="0" hidden="1">'Форма 5.1.'!$8:$11</definedName>
    <definedName name="Z_784AE35D_4A42_4ACF_B96A_AEA7554C0E6C_.wvu.Rows" localSheetId="0" hidden="1">'Форма 5.1.'!#REF!</definedName>
    <definedName name="Z_88120B8C_E583_49BB_8826_7D467D60C82D_.wvu.PrintArea" localSheetId="0" hidden="1">'Форма 5.1.'!$A$1:$E$64</definedName>
    <definedName name="Z_88120B8C_E583_49BB_8826_7D467D60C82D_.wvu.PrintTitles" localSheetId="0" hidden="1">'Форма 5.1.'!$8:$11</definedName>
    <definedName name="Z_88120B8C_E583_49BB_8826_7D467D60C82D_.wvu.Rows" localSheetId="0" hidden="1">'Форма 5.1.'!#REF!</definedName>
    <definedName name="_xlnm.Print_Titles" localSheetId="0">'Форма 5.1.'!$8:$11</definedName>
    <definedName name="_xlnm.Print_Titles" localSheetId="5">'Форма 5.6.'!$4:$6</definedName>
    <definedName name="_xlnm.Print_Area" localSheetId="0">'Форма 5.1.'!$A$1:$G$64</definedName>
    <definedName name="_xlnm.Print_Area" localSheetId="2">'Форма 5.3.'!$A$1:$K$22</definedName>
  </definedNames>
  <calcPr fullCalcOnLoad="1"/>
</workbook>
</file>

<file path=xl/sharedStrings.xml><?xml version="1.0" encoding="utf-8"?>
<sst xmlns="http://schemas.openxmlformats.org/spreadsheetml/2006/main" count="443" uniqueCount="262">
  <si>
    <t>Начисления на выплаты по оплате труда</t>
  </si>
  <si>
    <t>в том числе:</t>
  </si>
  <si>
    <t>Руководитель финансового органа</t>
  </si>
  <si>
    <t>х</t>
  </si>
  <si>
    <t>в том числе</t>
  </si>
  <si>
    <t>Наименование показателей</t>
  </si>
  <si>
    <t>(наименование муниципального образования)</t>
  </si>
  <si>
    <t xml:space="preserve">    в том числе</t>
  </si>
  <si>
    <t>1. Общегосударственные вопросы</t>
  </si>
  <si>
    <t>Заработная плата</t>
  </si>
  <si>
    <t>тыс. руб</t>
  </si>
  <si>
    <t>Наименование поселения</t>
  </si>
  <si>
    <t>Доходы</t>
  </si>
  <si>
    <t>в т.ч. налоговые и неналоговые доходы</t>
  </si>
  <si>
    <t>Расходы</t>
  </si>
  <si>
    <t>Дефицит (-), профицит (+)</t>
  </si>
  <si>
    <t>Дефицит (-) в %%</t>
  </si>
  <si>
    <t>ИТОГО</t>
  </si>
  <si>
    <t>Исполнитель</t>
  </si>
  <si>
    <t>1. Налоговые и неналоговые доходы всего:</t>
  </si>
  <si>
    <t>СПРАВОЧНО:</t>
  </si>
  <si>
    <t>Доп.норматив от НДФЛ (%%)</t>
  </si>
  <si>
    <t>Объем НДФЛ по допнормативу  (тыс. руб.)</t>
  </si>
  <si>
    <t>Объем НДФЛ без допнорматива (тыс. руб.)</t>
  </si>
  <si>
    <t>предельное значение, %%</t>
  </si>
  <si>
    <t>Источники финансирования дефицита</t>
  </si>
  <si>
    <t>Изменение остатков</t>
  </si>
  <si>
    <t>бюджетные кредиты</t>
  </si>
  <si>
    <t>кредиты коммерческих банков</t>
  </si>
  <si>
    <t>ценные бумаги</t>
  </si>
  <si>
    <t>Итого необеспеченный дефицит (обеспечен целевыми средствами)</t>
  </si>
  <si>
    <t>Муниципальный долг</t>
  </si>
  <si>
    <t>доходы всего на 1 жителя</t>
  </si>
  <si>
    <t>расходы всего на 1 жителя</t>
  </si>
  <si>
    <t xml:space="preserve">Штатная численность работников муниципальных учреждений  по полномочиям местного значения </t>
  </si>
  <si>
    <t xml:space="preserve">Численность работников органов местного самоуправления                 </t>
  </si>
  <si>
    <t>Количество муниципальных учреждений</t>
  </si>
  <si>
    <t>Штатная численность
(ед) - Среднегодовое (прогноз)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</si>
  <si>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</si>
  <si>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</si>
  <si>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</si>
  <si>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5. Жилищно-коммунальное хозяйство</t>
  </si>
  <si>
    <t>6. Охрана окружающей среды</t>
  </si>
  <si>
    <t>7. Образование</t>
  </si>
  <si>
    <t>8. Культура, кинематография</t>
  </si>
  <si>
    <t>9. Здравоохранение</t>
  </si>
  <si>
    <t>10. Социальная политика</t>
  </si>
  <si>
    <t>11. Физическая культура и спорт</t>
  </si>
  <si>
    <t>12. ВСЕГО</t>
  </si>
  <si>
    <t>в т.ч.</t>
  </si>
  <si>
    <t>налоговые доходы всего, из них:</t>
  </si>
  <si>
    <t>НДФЛ  всего</t>
  </si>
  <si>
    <t xml:space="preserve">акцизы </t>
  </si>
  <si>
    <t>УСН</t>
  </si>
  <si>
    <t>налог на имущество физических лиц</t>
  </si>
  <si>
    <t>земельный налог</t>
  </si>
  <si>
    <t>неналоговые доходы</t>
  </si>
  <si>
    <t>из них:</t>
  </si>
  <si>
    <t>доходы от использования имущества, находящегося в государственной и муниципальной собственности, из них</t>
  </si>
  <si>
    <t>арендная плата за земельные участки</t>
  </si>
  <si>
    <t xml:space="preserve">доходы от продажи материальных и нематериальных активов </t>
  </si>
  <si>
    <r>
      <t xml:space="preserve">2. Безвозмездные поступления, всего </t>
    </r>
    <r>
      <rPr>
        <b/>
        <u val="single"/>
        <sz val="11"/>
        <color indexed="8"/>
        <rFont val="Times New Roman"/>
        <family val="1"/>
      </rPr>
      <t>(нецелевые средства)</t>
    </r>
  </si>
  <si>
    <t>дотация на сбалансированность</t>
  </si>
  <si>
    <t>дотация ЗАТО из федерального бюджета</t>
  </si>
  <si>
    <t>1) первоочередные (без учета средств на софинансирование), в т.ч.</t>
  </si>
  <si>
    <t>ФОТ с начисл. к собственным доходам (%)</t>
  </si>
  <si>
    <t>2) непервоочередные (без учета средств на софинансирование), в т.ч.</t>
  </si>
  <si>
    <t xml:space="preserve">3. Расходы на условиях софинансирования </t>
  </si>
  <si>
    <t xml:space="preserve">расшифровать по всем направлениям с указанием уровня софинансирования </t>
  </si>
  <si>
    <t>…</t>
  </si>
  <si>
    <t>1.3) Обслуживание муниципального долга</t>
  </si>
  <si>
    <t>1.4.3) Коммунальные услуги</t>
  </si>
  <si>
    <t xml:space="preserve">1.4.4) Арендная плата за пользование имуществом </t>
  </si>
  <si>
    <t>1.4.2) Транспортные услуги</t>
  </si>
  <si>
    <t xml:space="preserve">1.4.1) Услуги связи </t>
  </si>
  <si>
    <t>1.4.5) Увеличение стоимости материальных запасов</t>
  </si>
  <si>
    <r>
      <t>Доходы всего</t>
    </r>
    <r>
      <rPr>
        <sz val="11"/>
        <color indexed="8"/>
        <rFont val="Times New Roman"/>
        <family val="1"/>
      </rPr>
      <t xml:space="preserve"> (налоговые и неналоговые доходы, нецелевая финансовая помощь ) </t>
    </r>
  </si>
  <si>
    <t>Работников казенных учреждений</t>
  </si>
  <si>
    <t>Работников бюджетных и автономных учрежедений</t>
  </si>
  <si>
    <t xml:space="preserve">                                                                                                                                                        (наименование муниципального образования)</t>
  </si>
  <si>
    <t>тыс. рублей</t>
  </si>
  <si>
    <t>наименование объекта</t>
  </si>
  <si>
    <t>ФБ</t>
  </si>
  <si>
    <t>ОБ</t>
  </si>
  <si>
    <t>МБ</t>
  </si>
  <si>
    <t>Информация по субсидиям юридическим лицам</t>
  </si>
  <si>
    <t>наименование муниципального образования</t>
  </si>
  <si>
    <t>РзПр</t>
  </si>
  <si>
    <t>Наименование субсидии</t>
  </si>
  <si>
    <t>Наименование должностей</t>
  </si>
  <si>
    <t xml:space="preserve">Муниципальные должности и должности муниципальной службы </t>
  </si>
  <si>
    <t xml:space="preserve">Муниципальные должности </t>
  </si>
  <si>
    <t xml:space="preserve">Должности муниципальной службы </t>
  </si>
  <si>
    <t>Должности работников ОМСУ, не являющихся муниципальными служащими</t>
  </si>
  <si>
    <t>Численность (шт.ед.)</t>
  </si>
  <si>
    <t>Численность (шт.ед)</t>
  </si>
  <si>
    <t>подпись</t>
  </si>
  <si>
    <t>расшифровка подписи</t>
  </si>
  <si>
    <t xml:space="preserve">Всего по ОМСУ </t>
  </si>
  <si>
    <t>Всего,  расходов    тыс. рублей</t>
  </si>
  <si>
    <t>Информация о численности и расходах на содержание ОМСУ  (без переданных полномочий)</t>
  </si>
  <si>
    <t>Заработная плата с начислениями (гр.5+гр.6)</t>
  </si>
  <si>
    <t>Заработная плата с начислениями (гр.10+гр.11)</t>
  </si>
  <si>
    <t>Фонд оплаты труда с начислениями тыс. рублей</t>
  </si>
  <si>
    <t xml:space="preserve">Объем Фонда финансовой поддержки муниципальных районов, городских округов </t>
  </si>
  <si>
    <t>Объекты капитального строительства (расшифровать)</t>
  </si>
  <si>
    <t>Итого:</t>
  </si>
  <si>
    <t>Всего:</t>
  </si>
  <si>
    <r>
      <t>1.1) Общий объём фонда оплаты труда с начислениями</t>
    </r>
    <r>
      <rPr>
        <b/>
        <sz val="14"/>
        <color indexed="8"/>
        <rFont val="Times New Roman"/>
        <family val="1"/>
      </rPr>
      <t xml:space="preserve"> * </t>
    </r>
  </si>
  <si>
    <r>
      <t>1.2) Иные выплаты (за исключением фонда оплаты труда)</t>
    </r>
    <r>
      <rPr>
        <b/>
        <sz val="14"/>
        <color indexed="8"/>
        <rFont val="Times New Roman"/>
        <family val="1"/>
      </rPr>
      <t xml:space="preserve"> * </t>
    </r>
  </si>
  <si>
    <t xml:space="preserve">2.2) Социальная помощь населению </t>
  </si>
  <si>
    <t>2.6) Расходы на увеличение стоимости основных средств</t>
  </si>
  <si>
    <r>
      <t xml:space="preserve">2.7) Субсидии на иные цели бюджетным и автономным учреждениям </t>
    </r>
    <r>
      <rPr>
        <i/>
        <sz val="11"/>
        <color indexed="8"/>
        <rFont val="Times New Roman"/>
        <family val="1"/>
      </rPr>
      <t>(за исключением расходов включённых в п.2.3- 2.6.)</t>
    </r>
  </si>
  <si>
    <r>
      <t xml:space="preserve">* </t>
    </r>
    <r>
      <rPr>
        <b/>
        <sz val="12"/>
        <color indexed="8"/>
        <rFont val="Times New Roman"/>
        <family val="1"/>
      </rPr>
      <t>Расходы казённых, бюджетных и автономных учреждений</t>
    </r>
  </si>
  <si>
    <t>2.8) Другие расходы (расшифровать)</t>
  </si>
  <si>
    <r>
      <t xml:space="preserve">1.4) Расходы на обеспечение муниципальных нужд </t>
    </r>
    <r>
      <rPr>
        <b/>
        <sz val="14"/>
        <color indexed="8"/>
        <rFont val="Times New Roman"/>
        <family val="1"/>
      </rPr>
      <t xml:space="preserve">*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в т.ч.:
</t>
    </r>
  </si>
  <si>
    <t xml:space="preserve">Удельный вес первоочередных расходов в собственных доходах </t>
  </si>
  <si>
    <r>
      <t xml:space="preserve">1.5)  Налоги и сборы </t>
    </r>
    <r>
      <rPr>
        <b/>
        <sz val="14"/>
        <rFont val="Times New Roman"/>
        <family val="1"/>
      </rPr>
      <t>*</t>
    </r>
  </si>
  <si>
    <t>2.1) Субсидии юридическим лицам</t>
  </si>
  <si>
    <t xml:space="preserve">2.3) Расходы на капитальное строительство </t>
  </si>
  <si>
    <t>2.4.) Расходы на капитальный ремонт</t>
  </si>
  <si>
    <t>2.5) Расходы на приобретение объектов недвижимого имущества</t>
  </si>
  <si>
    <t>Объекты недвижимого имущества, приобретаемого в муниципальную собственность  (расшифровать)</t>
  </si>
  <si>
    <t>4. Дорожный фонд</t>
  </si>
  <si>
    <t>9=7/5</t>
  </si>
  <si>
    <t>* без ОМСУ</t>
  </si>
  <si>
    <t>3. Расходы - всего (без субвенций (за исключением субвенции по расчету и предоставлению дотаций поселениям), субсидий, иных МБТ )</t>
  </si>
  <si>
    <t>ИНФОРМАЦИЯ ПО ОБЪЕКТАМ КАПИТАЛЬНОГО СТРОИТЕЛЬСТВА И ОБЪЕКТАМ НЕДВИЖИМОГО ИМУЩЕСТВА, ПРИОБРЕТАЕМОГО В МУНИЦИПАЛЬНУЮ СОБСТВЕННОСТЬ</t>
  </si>
  <si>
    <t xml:space="preserve">Приложение № 5 к письму Департамента финансов                             Томской области                                            
</t>
  </si>
  <si>
    <t>Форма 5.1.</t>
  </si>
  <si>
    <t>Форма 5.2.</t>
  </si>
  <si>
    <t>Форма 5.3.</t>
  </si>
  <si>
    <t>Форма 5.4.</t>
  </si>
  <si>
    <t>Форма 5.5.</t>
  </si>
  <si>
    <t>Форма 5.6.</t>
  </si>
  <si>
    <t>Прочие безвозмездные поступления в бюджеты муниципальных районов</t>
  </si>
  <si>
    <t>Доходы от возврата организациями остатков субсидий прошлых лет</t>
  </si>
  <si>
    <t xml:space="preserve">дотации на выравнивание  бюджетной обеспеченности </t>
  </si>
  <si>
    <t>субвенции на переданые гос. полномочия по расчету и предоставлению дотаций бюджетам поселений</t>
  </si>
  <si>
    <t xml:space="preserve">из них </t>
  </si>
  <si>
    <t>плата за негативное воздействие на окружающую среду</t>
  </si>
  <si>
    <t>2021 год</t>
  </si>
  <si>
    <t>в том числе: расшифровать 1.4.5</t>
  </si>
  <si>
    <t>2022 год</t>
  </si>
  <si>
    <r>
      <t xml:space="preserve">Штатная численность и расходы на оплату труда работников муниципальных  учреждений *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</rPr>
      <t xml:space="preserve">(за счет налоговых и неналоговых доходов и нецелевой финансовой помощи из областного бюджета без учета работников органов местного самоуправления)        </t>
    </r>
    <r>
      <rPr>
        <b/>
        <sz val="14"/>
        <rFont val="Times New Roman"/>
        <family val="1"/>
      </rPr>
      <t xml:space="preserve">      </t>
    </r>
  </si>
  <si>
    <t xml:space="preserve">Штатная численность
(ед) </t>
  </si>
  <si>
    <t>1.4.6) Расходы на текущее содержание  муниципального имущества</t>
  </si>
  <si>
    <t xml:space="preserve">снижение нецелевых остатков в связи с направлением их на расходы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</si>
  <si>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</si>
  <si>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</si>
  <si>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</si>
  <si>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</si>
  <si>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</si>
  <si>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</si>
  <si>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</si>
  <si>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</si>
  <si>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 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</si>
  <si>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</si>
  <si>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</si>
  <si>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</si>
  <si>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</si>
  <si>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 по видам расходов</t>
  </si>
  <si>
    <t>в том числе 243</t>
  </si>
  <si>
    <t>КВР 100</t>
  </si>
  <si>
    <t>КВР 200</t>
  </si>
  <si>
    <t>КВР 300</t>
  </si>
  <si>
    <t>КВР 400</t>
  </si>
  <si>
    <t>КВР 600</t>
  </si>
  <si>
    <t>в том числе 611, 621</t>
  </si>
  <si>
    <t>КВР 700</t>
  </si>
  <si>
    <t>КВР 800</t>
  </si>
  <si>
    <t>Всего</t>
  </si>
  <si>
    <t>Форма 5.7.</t>
  </si>
  <si>
    <t>2021 год (исполнено)</t>
  </si>
  <si>
    <t>План на 01.09.2022</t>
  </si>
  <si>
    <t>исполнено на 01.09.2022</t>
  </si>
  <si>
    <t xml:space="preserve">2022 год </t>
  </si>
  <si>
    <t>Основные параметры консолидированного бюджета в 2021 - 2022 годах</t>
  </si>
  <si>
    <t>2023 год</t>
  </si>
  <si>
    <t>от 09.09.2022 №50-02/18/1-305</t>
  </si>
  <si>
    <t>Темп роста 2023 к 2022 году</t>
  </si>
  <si>
    <t>Причины роста (снижения) плановых значений на 2023 годов к 2022  году</t>
  </si>
  <si>
    <t>Утверждено на 01.09.2022г.</t>
  </si>
  <si>
    <t>Проект 2023 год</t>
  </si>
  <si>
    <t>Темп роста всего расходов 2023/2022 (гр.8/гр.3)</t>
  </si>
  <si>
    <t>Темп роста заработной платы с начислениями 2023/2022 (гр.9/гр.4)</t>
  </si>
  <si>
    <t>Основные параметры бюджетов поселений на 2022-2023 годы</t>
  </si>
  <si>
    <t>Утверждено на 2022 год (по состоянию на 01.09.2022)</t>
  </si>
  <si>
    <t>Прогноз на 2023 год</t>
  </si>
  <si>
    <t>2021 год  (факт)</t>
  </si>
  <si>
    <t>2022 год (план)</t>
  </si>
  <si>
    <t>2023 год (заявленная потребность)</t>
  </si>
  <si>
    <t>Ожидаемое исполнение 
2022 год</t>
  </si>
  <si>
    <t>Проект 
2023 год</t>
  </si>
  <si>
    <t>Первоначальный план 2022 года</t>
  </si>
  <si>
    <t>Ожидаемое исполнение на 2022 год (тыс. руб.)</t>
  </si>
  <si>
    <t>Темп роста ожидаемого МО 2022 к исполнению 2021 года</t>
  </si>
  <si>
    <t>Прогноз на 2023 год                (тыс. руб.)</t>
  </si>
  <si>
    <t>Темп роста 2023/2022 (в %)</t>
  </si>
  <si>
    <t>Результат мероприятий по оздоровлению муниципальных финансов проводимых в 2022 году</t>
  </si>
  <si>
    <t>численность на 01.01.2022 года (тыс. чел) с 3-мя знаками после запятой</t>
  </si>
  <si>
    <t>административные штрафы за административные правонарушения в области охраны окружающей среды и природопользования</t>
  </si>
  <si>
    <t>5. Расходы на реализацию плана природоохранных мероприятий</t>
  </si>
  <si>
    <t>Штрафы, из них</t>
  </si>
  <si>
    <t>Налог, взимаемый в связи с применением патентной системы налогообложения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</si>
  <si>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</t>
  </si>
  <si>
    <t>Приобретение жилья детям сиротам:                          2021 год - 2 квартира, 2022 год - 2 квартира</t>
  </si>
  <si>
    <t>0412</t>
  </si>
  <si>
    <t>0502</t>
  </si>
  <si>
    <t>Предоставление субсидий ресурсоснабжающим организациям в целях частичного возмещения затрат, возникших при оказании услуг тепло-, водоснабжения и водоотведения на территории муниципального образования «Город Кедровый»</t>
  </si>
  <si>
    <t>Город Кедровый</t>
  </si>
  <si>
    <r>
      <t>______________</t>
    </r>
    <r>
      <rPr>
        <u val="single"/>
        <sz val="12"/>
        <color indexed="8"/>
        <rFont val="Times New Roman"/>
        <family val="1"/>
      </rPr>
      <t>Город Кедровый</t>
    </r>
    <r>
      <rPr>
        <sz val="12"/>
        <color indexed="8"/>
        <rFont val="Times New Roman"/>
        <family val="1"/>
      </rPr>
      <t>_______________</t>
    </r>
  </si>
  <si>
    <r>
      <t xml:space="preserve">Анализ ожидаемого исполнения консолидированного бюджета </t>
    </r>
    <r>
      <rPr>
        <u val="single"/>
        <sz val="14"/>
        <rFont val="Times New Roman"/>
        <family val="1"/>
      </rPr>
      <t>МО  Город Кедровый</t>
    </r>
    <r>
      <rPr>
        <sz val="14"/>
        <rFont val="Times New Roman"/>
        <family val="1"/>
      </rPr>
      <t xml:space="preserve"> в 2022 году и прогноз на 2023 год
                                                  (без субвенций (за исключением субвенции по расчету и предоставлению дотаций поселениям), субсидий , иных МБТ из областного бюджета )</t>
    </r>
  </si>
  <si>
    <r>
      <t>консолидированный бюджет муниципального образования "</t>
    </r>
    <r>
      <rPr>
        <b/>
        <u val="single"/>
        <sz val="14"/>
        <rFont val="Times New Roman"/>
        <family val="1"/>
      </rPr>
      <t>Город Кедровый</t>
    </r>
    <r>
      <rPr>
        <b/>
        <sz val="14"/>
        <rFont val="Times New Roman"/>
        <family val="1"/>
      </rPr>
      <t>"</t>
    </r>
  </si>
  <si>
    <r>
      <t>консолидированный бюджет муниципального образования "</t>
    </r>
    <r>
      <rPr>
        <b/>
        <u val="single"/>
        <sz val="13"/>
        <rFont val="Times New Roman"/>
        <family val="1"/>
      </rPr>
      <t>Город Кедровый</t>
    </r>
    <r>
      <rPr>
        <b/>
        <sz val="13"/>
        <rFont val="Times New Roman"/>
        <family val="1"/>
      </rPr>
      <t>"</t>
    </r>
  </si>
  <si>
    <t>О.С. Барвенко</t>
  </si>
  <si>
    <t>Исполнитель (Устюжанина А.А., тлф 8(38250)35-516)</t>
  </si>
  <si>
    <t>Исполнитель: Устюжанина А.А., тел. 8(38250)35-516</t>
  </si>
  <si>
    <t>111,119,121,129</t>
  </si>
  <si>
    <t>112,113,122,123</t>
  </si>
  <si>
    <t>244/247</t>
  </si>
  <si>
    <t>Увеличение стоимости лекарственных препаратов и материалов, применяемых в медицинских целях (341)</t>
  </si>
  <si>
    <t>Увеличение стоимости продуктов питания (342)</t>
  </si>
  <si>
    <t>Увеличение стоимости горюче-смазочных материалов (343)</t>
  </si>
  <si>
    <t>Увеличение стоимости строительных материалов (344)</t>
  </si>
  <si>
    <t>Увеличение стоимости мягкого инвентаря (345)</t>
  </si>
  <si>
    <t>Увеличение стоимости прочих оборотных запасов (материалов) (346)</t>
  </si>
  <si>
    <t>Увеличение стоимости прочих материальных запасов однократного применения (349)</t>
  </si>
  <si>
    <t>квр</t>
  </si>
  <si>
    <t>465,243 кроме 310</t>
  </si>
  <si>
    <t>Государственная программа "Развитие молодежной политики, физической культуры и спорта в Томской области"</t>
  </si>
  <si>
    <t>Государственная программа "Развитие образования в Томской области"</t>
  </si>
  <si>
    <t>Государственна программа "Социальная поддержка населения Томской области"</t>
  </si>
  <si>
    <t>Государственная программа "Развитие коммунальной и коммуникационной инфраструктуры в Томской области"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</si>
  <si>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</si>
  <si>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Государственная программа "Комплексное развитие сельских территорий Томской области"</t>
  </si>
  <si>
    <t>Государственная программа "Развитие транспортной инфраструктуры в Томской области"</t>
  </si>
  <si>
    <t>Государственная программа "Жилье и городская среда Томской области"</t>
  </si>
  <si>
    <t>Государственная программа "Развитие сельского хозяйства, рынков сырья и продовольствия в Томской области"</t>
  </si>
  <si>
    <t xml:space="preserve"> Государственная программа "Обращение с отходами, в том числе с твердыми коммунальными отходами, на территории Томской области"</t>
  </si>
  <si>
    <t>Государственная программа "Реализация мероприятий муниципальных (подпрограмм), направленных на развитие малого и среднего препринимательства"</t>
  </si>
  <si>
    <t>Государственная программа "Благоустройства дворовых территорий основного мероприятия "Реализация комплексных проектов благоустройства муниципальных образований" в рамках программ "Жилье и городская среда в Томской области" за счет средств областного бюджета"</t>
  </si>
  <si>
    <t>Государственная программа "Улучшение инвестиционного климата и развитие экспорта Томской области"</t>
  </si>
  <si>
    <t>Государственная программа "Развитие культуры и туризма в Томской области"</t>
  </si>
  <si>
    <t>Государственная программа "Развитие предпринимательства в Томской области"</t>
  </si>
  <si>
    <t>прочие работы, услуги (226)</t>
  </si>
  <si>
    <t>Страхование (227)</t>
  </si>
  <si>
    <t>Услуги, работы для целей капитальных вложений (228)</t>
  </si>
  <si>
    <t>иные расходы (296)</t>
  </si>
  <si>
    <t>Иные выплаты текущего характера организациям (297)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</si>
  <si>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(353)</t>
  </si>
  <si>
    <t>резервные фонды и зарезервированные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</si>
  <si>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 (830)</t>
  </si>
  <si>
    <t>Специальные расходы (КВР 880)</t>
  </si>
  <si>
    <t>Увеличение стоимости материальных запасов для целей капитальных вложений (347)</t>
  </si>
  <si>
    <t>Реализация мероприятий муниципальных программ (подпрограмм), направленных на развитие малого и среднего предпринимательства</t>
  </si>
  <si>
    <t>Разработка ПСД на строительство новых канализационных очистных сооружений</t>
  </si>
  <si>
    <t>Разработка ПСД на строительство полигона твердых коммунальных отходов</t>
  </si>
  <si>
    <t>Разработка ПСД на строительство новой котельной в г. Кедровом</t>
  </si>
  <si>
    <t>Утверждено по состоянию на 01.10.2022</t>
  </si>
  <si>
    <t>Отклонение ожидаемого по оценке МО от плана на 01.10.2022</t>
  </si>
  <si>
    <t>6=гр.5-гр.4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</si>
</sst>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_р_."/>
    <numFmt numFmtId="189" formatCode="_-* #,##0.0_р_._-;\-* #,##0.0_р_._-;_-* &quot;-&quot;?_р_._-;_-@_-"/>
    <numFmt numFmtId="190" formatCode="[$-FC19]d\ mmmm\ yyyy\ &quot;г.&quot;"/>
    <numFmt numFmtId="191" formatCode="_-* #,##0_р_._-;\-* #,##0_р_._-;_-* &quot;-&quot;?_р_._-;_-@_-"/>
    <numFmt numFmtId="192" formatCode="#,##0.0_ ;\-#,##0.0\ "/>
    <numFmt numFmtId="193" formatCode="_-* #,##0.0\ _₽_-;\-* #,##0.0\ _₽_-;_-* &quot;-&quot;?\ _₽_-;_-@_-"/>
    <numFmt numFmtId="194" formatCode="#,##0.000_ ;\-#,##0.000\ "/>
  </numFmts>
  <fonts count="9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 CYR"/>
      <family val="1"/>
    </font>
    <font>
      <sz val="11.5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u val="single"/>
      <sz val="11"/>
      <color indexed="8"/>
      <name val="Times New Roman"/>
      <family val="1"/>
    </font>
    <font>
      <i/>
      <sz val="10"/>
      <name val="Arial Cyr"/>
      <family val="0"/>
    </font>
    <font>
      <b/>
      <i/>
      <sz val="11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PT Astra Sans"/>
      <family val="2"/>
    </font>
    <font>
      <b/>
      <sz val="11"/>
      <color indexed="8"/>
      <name val="PT Astra Sans"/>
      <family val="2"/>
    </font>
    <font>
      <b/>
      <sz val="10"/>
      <name val="PT Astra Sans"/>
      <family val="2"/>
    </font>
    <font>
      <i/>
      <sz val="11"/>
      <color indexed="8"/>
      <name val="PT Astra Sans"/>
      <family val="2"/>
    </font>
    <font>
      <i/>
      <sz val="10"/>
      <name val="PT Astra Sans"/>
      <family val="2"/>
    </font>
    <font>
      <sz val="11"/>
      <color indexed="8"/>
      <name val="PT Astra Sans"/>
      <family val="2"/>
    </font>
    <font>
      <sz val="11"/>
      <name val="PT Astra Sans"/>
      <family val="2"/>
    </font>
    <font>
      <b/>
      <sz val="16"/>
      <name val="PT Astra Serif"/>
      <family val="1"/>
    </font>
    <font>
      <u val="single"/>
      <sz val="12"/>
      <color indexed="8"/>
      <name val="Times New Roman"/>
      <family val="1"/>
    </font>
    <font>
      <u val="single"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 CYR"/>
      <family val="0"/>
    </font>
    <font>
      <b/>
      <sz val="11"/>
      <name val="PT Astra Sans"/>
      <family val="0"/>
    </font>
    <font>
      <b/>
      <i/>
      <sz val="11"/>
      <color indexed="8"/>
      <name val="PT Astr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178" fontId="15" fillId="33" borderId="10" xfId="0" applyNumberFormat="1" applyFont="1" applyFill="1" applyBorder="1" applyAlignment="1">
      <alignment vertical="center"/>
    </xf>
    <xf numFmtId="180" fontId="15" fillId="33" borderId="1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180" fontId="1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7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89" fontId="3" fillId="33" borderId="11" xfId="0" applyNumberFormat="1" applyFont="1" applyFill="1" applyBorder="1" applyAlignment="1">
      <alignment vertical="center" wrapText="1"/>
    </xf>
    <xf numFmtId="189" fontId="15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 wrapText="1"/>
    </xf>
    <xf numFmtId="18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4" fillId="34" borderId="12" xfId="0" applyFont="1" applyFill="1" applyBorder="1" applyAlignment="1">
      <alignment vertical="center" wrapText="1"/>
    </xf>
    <xf numFmtId="188" fontId="24" fillId="34" borderId="12" xfId="0" applyNumberFormat="1" applyFont="1" applyFill="1" applyBorder="1" applyAlignment="1">
      <alignment vertical="center" wrapText="1"/>
    </xf>
    <xf numFmtId="188" fontId="24" fillId="34" borderId="12" xfId="0" applyNumberFormat="1" applyFont="1" applyFill="1" applyBorder="1" applyAlignment="1">
      <alignment horizontal="center" vertical="center" wrapText="1"/>
    </xf>
    <xf numFmtId="180" fontId="24" fillId="34" borderId="12" xfId="0" applyNumberFormat="1" applyFont="1" applyFill="1" applyBorder="1" applyAlignment="1">
      <alignment vertical="center" wrapText="1"/>
    </xf>
    <xf numFmtId="180" fontId="23" fillId="34" borderId="12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24" fillId="36" borderId="12" xfId="0" applyFont="1" applyFill="1" applyBorder="1" applyAlignment="1">
      <alignment vertical="center" wrapText="1"/>
    </xf>
    <xf numFmtId="188" fontId="24" fillId="36" borderId="12" xfId="0" applyNumberFormat="1" applyFont="1" applyFill="1" applyBorder="1" applyAlignment="1">
      <alignment vertical="center" wrapText="1"/>
    </xf>
    <xf numFmtId="188" fontId="24" fillId="36" borderId="12" xfId="0" applyNumberFormat="1" applyFont="1" applyFill="1" applyBorder="1" applyAlignment="1">
      <alignment horizontal="center" vertical="center" wrapText="1"/>
    </xf>
    <xf numFmtId="188" fontId="24" fillId="36" borderId="12" xfId="0" applyNumberFormat="1" applyFont="1" applyFill="1" applyBorder="1" applyAlignment="1">
      <alignment horizontal="right" vertical="center" wrapText="1"/>
    </xf>
    <xf numFmtId="180" fontId="24" fillId="36" borderId="12" xfId="0" applyNumberFormat="1" applyFont="1" applyFill="1" applyBorder="1" applyAlignment="1">
      <alignment vertical="center" wrapText="1"/>
    </xf>
    <xf numFmtId="180" fontId="23" fillId="36" borderId="12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189" fontId="23" fillId="0" borderId="12" xfId="0" applyNumberFormat="1" applyFont="1" applyBorder="1" applyAlignment="1">
      <alignment vertical="center" wrapText="1"/>
    </xf>
    <xf numFmtId="188" fontId="23" fillId="0" borderId="12" xfId="0" applyNumberFormat="1" applyFont="1" applyBorder="1" applyAlignment="1">
      <alignment vertical="center" wrapText="1"/>
    </xf>
    <xf numFmtId="188" fontId="23" fillId="0" borderId="12" xfId="0" applyNumberFormat="1" applyFont="1" applyBorder="1" applyAlignment="1">
      <alignment horizontal="center" vertical="center" wrapText="1"/>
    </xf>
    <xf numFmtId="188" fontId="23" fillId="0" borderId="12" xfId="0" applyNumberFormat="1" applyFont="1" applyBorder="1" applyAlignment="1">
      <alignment horizontal="right" vertical="center" wrapText="1"/>
    </xf>
    <xf numFmtId="180" fontId="23" fillId="0" borderId="12" xfId="0" applyNumberFormat="1" applyFont="1" applyBorder="1" applyAlignment="1">
      <alignment vertical="center" wrapText="1"/>
    </xf>
    <xf numFmtId="188" fontId="23" fillId="0" borderId="12" xfId="0" applyNumberFormat="1" applyFont="1" applyFill="1" applyBorder="1" applyAlignment="1">
      <alignment vertical="center" wrapText="1"/>
    </xf>
    <xf numFmtId="188" fontId="23" fillId="0" borderId="12" xfId="0" applyNumberFormat="1" applyFont="1" applyFill="1" applyBorder="1" applyAlignment="1">
      <alignment horizontal="right" vertical="center" wrapText="1"/>
    </xf>
    <xf numFmtId="180" fontId="23" fillId="37" borderId="12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189" fontId="23" fillId="0" borderId="12" xfId="0" applyNumberFormat="1" applyFont="1" applyFill="1" applyBorder="1" applyAlignment="1">
      <alignment vertical="center" wrapText="1"/>
    </xf>
    <xf numFmtId="0" fontId="24" fillId="38" borderId="12" xfId="0" applyFont="1" applyFill="1" applyBorder="1" applyAlignment="1">
      <alignment vertical="center" wrapText="1"/>
    </xf>
    <xf numFmtId="189" fontId="24" fillId="38" borderId="12" xfId="0" applyNumberFormat="1" applyFont="1" applyFill="1" applyBorder="1" applyAlignment="1">
      <alignment vertical="center" wrapText="1"/>
    </xf>
    <xf numFmtId="188" fontId="24" fillId="38" borderId="12" xfId="0" applyNumberFormat="1" applyFont="1" applyFill="1" applyBorder="1" applyAlignment="1">
      <alignment vertical="center" wrapText="1"/>
    </xf>
    <xf numFmtId="188" fontId="24" fillId="38" borderId="12" xfId="0" applyNumberFormat="1" applyFont="1" applyFill="1" applyBorder="1" applyAlignment="1">
      <alignment horizontal="right" vertical="center" wrapText="1"/>
    </xf>
    <xf numFmtId="180" fontId="24" fillId="38" borderId="12" xfId="0" applyNumberFormat="1" applyFont="1" applyFill="1" applyBorder="1" applyAlignment="1">
      <alignment vertical="center" wrapText="1"/>
    </xf>
    <xf numFmtId="180" fontId="23" fillId="38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2" fontId="23" fillId="0" borderId="12" xfId="0" applyNumberFormat="1" applyFont="1" applyBorder="1" applyAlignment="1">
      <alignment vertical="center" wrapText="1"/>
    </xf>
    <xf numFmtId="189" fontId="25" fillId="0" borderId="12" xfId="0" applyNumberFormat="1" applyFont="1" applyBorder="1" applyAlignment="1">
      <alignment vertical="center" wrapText="1"/>
    </xf>
    <xf numFmtId="188" fontId="25" fillId="0" borderId="12" xfId="0" applyNumberFormat="1" applyFont="1" applyBorder="1" applyAlignment="1">
      <alignment vertical="center" wrapText="1"/>
    </xf>
    <xf numFmtId="188" fontId="23" fillId="37" borderId="12" xfId="0" applyNumberFormat="1" applyFont="1" applyFill="1" applyBorder="1" applyAlignment="1">
      <alignment vertical="center" wrapText="1"/>
    </xf>
    <xf numFmtId="188" fontId="24" fillId="34" borderId="12" xfId="0" applyNumberFormat="1" applyFont="1" applyFill="1" applyBorder="1" applyAlignment="1">
      <alignment horizontal="right" vertical="center" wrapText="1"/>
    </xf>
    <xf numFmtId="0" fontId="24" fillId="34" borderId="12" xfId="0" applyFont="1" applyFill="1" applyBorder="1" applyAlignment="1">
      <alignment horizontal="left" vertical="center" wrapText="1" indent="1"/>
    </xf>
    <xf numFmtId="189" fontId="24" fillId="34" borderId="12" xfId="0" applyNumberFormat="1" applyFont="1" applyFill="1" applyBorder="1" applyAlignment="1">
      <alignment horizontal="left" vertical="center" wrapText="1" indent="1"/>
    </xf>
    <xf numFmtId="188" fontId="24" fillId="34" borderId="12" xfId="0" applyNumberFormat="1" applyFont="1" applyFill="1" applyBorder="1" applyAlignment="1">
      <alignment horizontal="left" vertical="center" wrapText="1" indent="1"/>
    </xf>
    <xf numFmtId="180" fontId="0" fillId="34" borderId="12" xfId="0" applyNumberFormat="1" applyFill="1" applyBorder="1" applyAlignment="1">
      <alignment/>
    </xf>
    <xf numFmtId="188" fontId="0" fillId="34" borderId="12" xfId="0" applyNumberFormat="1" applyFill="1" applyBorder="1" applyAlignment="1">
      <alignment/>
    </xf>
    <xf numFmtId="180" fontId="25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89" fontId="19" fillId="0" borderId="12" xfId="0" applyNumberFormat="1" applyFont="1" applyBorder="1" applyAlignment="1">
      <alignment vertical="center" wrapText="1"/>
    </xf>
    <xf numFmtId="188" fontId="19" fillId="0" borderId="12" xfId="0" applyNumberFormat="1" applyFont="1" applyBorder="1" applyAlignment="1">
      <alignment vertical="center" wrapText="1"/>
    </xf>
    <xf numFmtId="188" fontId="18" fillId="0" borderId="12" xfId="0" applyNumberFormat="1" applyFont="1" applyBorder="1" applyAlignment="1">
      <alignment horizontal="right" vertical="center" wrapText="1"/>
    </xf>
    <xf numFmtId="180" fontId="19" fillId="0" borderId="12" xfId="0" applyNumberFormat="1" applyFont="1" applyBorder="1" applyAlignment="1">
      <alignment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180" fontId="23" fillId="0" borderId="12" xfId="0" applyNumberFormat="1" applyFont="1" applyBorder="1" applyAlignment="1">
      <alignment horizontal="right" vertical="center" wrapText="1"/>
    </xf>
    <xf numFmtId="189" fontId="24" fillId="39" borderId="12" xfId="0" applyNumberFormat="1" applyFont="1" applyFill="1" applyBorder="1" applyAlignment="1">
      <alignment vertical="center" wrapText="1"/>
    </xf>
    <xf numFmtId="189" fontId="23" fillId="39" borderId="12" xfId="0" applyNumberFormat="1" applyFont="1" applyFill="1" applyBorder="1" applyAlignment="1">
      <alignment vertical="center" wrapText="1"/>
    </xf>
    <xf numFmtId="188" fontId="23" fillId="39" borderId="12" xfId="0" applyNumberFormat="1" applyFont="1" applyFill="1" applyBorder="1" applyAlignment="1">
      <alignment vertical="center" wrapText="1"/>
    </xf>
    <xf numFmtId="188" fontId="25" fillId="39" borderId="12" xfId="0" applyNumberFormat="1" applyFont="1" applyFill="1" applyBorder="1" applyAlignment="1">
      <alignment vertical="center" wrapText="1"/>
    </xf>
    <xf numFmtId="188" fontId="23" fillId="39" borderId="12" xfId="0" applyNumberFormat="1" applyFont="1" applyFill="1" applyBorder="1" applyAlignment="1">
      <alignment horizontal="right" vertical="center" wrapText="1"/>
    </xf>
    <xf numFmtId="180" fontId="25" fillId="39" borderId="12" xfId="0" applyNumberFormat="1" applyFont="1" applyFill="1" applyBorder="1" applyAlignment="1">
      <alignment vertical="center" wrapText="1"/>
    </xf>
    <xf numFmtId="180" fontId="23" fillId="39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9" fontId="24" fillId="40" borderId="12" xfId="0" applyNumberFormat="1" applyFont="1" applyFill="1" applyBorder="1" applyAlignment="1">
      <alignment vertical="center" wrapText="1"/>
    </xf>
    <xf numFmtId="178" fontId="23" fillId="34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8" fontId="25" fillId="0" borderId="12" xfId="0" applyNumberFormat="1" applyFont="1" applyBorder="1" applyAlignment="1">
      <alignment vertical="center" wrapText="1"/>
    </xf>
    <xf numFmtId="180" fontId="28" fillId="0" borderId="0" xfId="0" applyNumberFormat="1" applyFont="1" applyAlignment="1">
      <alignment/>
    </xf>
    <xf numFmtId="3" fontId="24" fillId="34" borderId="12" xfId="0" applyNumberFormat="1" applyFont="1" applyFill="1" applyBorder="1" applyAlignment="1">
      <alignment vertical="center" wrapText="1"/>
    </xf>
    <xf numFmtId="178" fontId="23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9" fontId="2" fillId="0" borderId="12" xfId="0" applyNumberFormat="1" applyFont="1" applyBorder="1" applyAlignment="1">
      <alignment vertical="center" wrapText="1"/>
    </xf>
    <xf numFmtId="188" fontId="2" fillId="0" borderId="12" xfId="0" applyNumberFormat="1" applyFont="1" applyBorder="1" applyAlignment="1">
      <alignment vertical="center" wrapText="1"/>
    </xf>
    <xf numFmtId="189" fontId="86" fillId="0" borderId="12" xfId="0" applyNumberFormat="1" applyFont="1" applyBorder="1" applyAlignment="1">
      <alignment vertical="center" wrapText="1"/>
    </xf>
    <xf numFmtId="188" fontId="86" fillId="0" borderId="12" xfId="0" applyNumberFormat="1" applyFont="1" applyBorder="1" applyAlignment="1">
      <alignment vertical="center" wrapText="1"/>
    </xf>
    <xf numFmtId="0" fontId="29" fillId="34" borderId="12" xfId="0" applyFont="1" applyFill="1" applyBorder="1" applyAlignment="1">
      <alignment vertical="center" wrapText="1"/>
    </xf>
    <xf numFmtId="189" fontId="29" fillId="34" borderId="12" xfId="0" applyNumberFormat="1" applyFont="1" applyFill="1" applyBorder="1" applyAlignment="1">
      <alignment vertical="center" wrapText="1"/>
    </xf>
    <xf numFmtId="188" fontId="29" fillId="34" borderId="12" xfId="0" applyNumberFormat="1" applyFont="1" applyFill="1" applyBorder="1" applyAlignment="1">
      <alignment horizontal="center" vertical="center" wrapText="1"/>
    </xf>
    <xf numFmtId="188" fontId="29" fillId="34" borderId="12" xfId="0" applyNumberFormat="1" applyFont="1" applyFill="1" applyBorder="1" applyAlignment="1">
      <alignment vertical="center" wrapText="1"/>
    </xf>
    <xf numFmtId="178" fontId="25" fillId="34" borderId="12" xfId="0" applyNumberFormat="1" applyFont="1" applyFill="1" applyBorder="1" applyAlignment="1">
      <alignment vertical="center" wrapText="1"/>
    </xf>
    <xf numFmtId="3" fontId="29" fillId="34" borderId="12" xfId="0" applyNumberFormat="1" applyFont="1" applyFill="1" applyBorder="1" applyAlignment="1">
      <alignment vertical="center" wrapText="1"/>
    </xf>
    <xf numFmtId="0" fontId="24" fillId="34" borderId="12" xfId="0" applyFont="1" applyFill="1" applyBorder="1" applyAlignment="1">
      <alignment horizontal="center" vertical="center" wrapText="1"/>
    </xf>
    <xf numFmtId="1" fontId="24" fillId="34" borderId="12" xfId="0" applyNumberFormat="1" applyFont="1" applyFill="1" applyBorder="1" applyAlignment="1">
      <alignment vertical="center" wrapText="1"/>
    </xf>
    <xf numFmtId="1" fontId="24" fillId="34" borderId="12" xfId="0" applyNumberFormat="1" applyFont="1" applyFill="1" applyBorder="1" applyAlignment="1">
      <alignment horizontal="center" vertical="center" wrapText="1"/>
    </xf>
    <xf numFmtId="3" fontId="24" fillId="34" borderId="12" xfId="0" applyNumberFormat="1" applyFont="1" applyFill="1" applyBorder="1" applyAlignment="1">
      <alignment horizontal="center" vertical="center" wrapText="1"/>
    </xf>
    <xf numFmtId="191" fontId="24" fillId="34" borderId="12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188" fontId="25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 wrapText="1"/>
    </xf>
    <xf numFmtId="0" fontId="32" fillId="0" borderId="0" xfId="0" applyFont="1" applyBorder="1" applyAlignment="1">
      <alignment horizontal="left" vertical="center"/>
    </xf>
    <xf numFmtId="0" fontId="87" fillId="0" borderId="0" xfId="0" applyFont="1" applyAlignment="1">
      <alignment/>
    </xf>
    <xf numFmtId="0" fontId="87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88" fillId="0" borderId="0" xfId="0" applyFont="1" applyAlignment="1">
      <alignment/>
    </xf>
    <xf numFmtId="177" fontId="9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left" vertical="center" wrapText="1"/>
    </xf>
    <xf numFmtId="192" fontId="23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87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77" fontId="23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87" fillId="0" borderId="10" xfId="0" applyFont="1" applyBorder="1" applyAlignment="1">
      <alignment horizontal="center" vertical="center"/>
    </xf>
    <xf numFmtId="0" fontId="24" fillId="39" borderId="12" xfId="0" applyNumberFormat="1" applyFont="1" applyFill="1" applyBorder="1" applyAlignment="1">
      <alignment vertical="center" wrapText="1"/>
    </xf>
    <xf numFmtId="0" fontId="35" fillId="0" borderId="0" xfId="0" applyFont="1" applyAlignment="1">
      <alignment/>
    </xf>
    <xf numFmtId="188" fontId="36" fillId="0" borderId="12" xfId="0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188" fontId="38" fillId="0" borderId="12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188" fontId="40" fillId="0" borderId="12" xfId="0" applyNumberFormat="1" applyFont="1" applyBorder="1" applyAlignment="1">
      <alignment vertical="center" wrapText="1"/>
    </xf>
    <xf numFmtId="188" fontId="41" fillId="0" borderId="12" xfId="0" applyNumberFormat="1" applyFont="1" applyBorder="1" applyAlignment="1">
      <alignment vertical="center" wrapText="1"/>
    </xf>
    <xf numFmtId="188" fontId="41" fillId="0" borderId="18" xfId="0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188" fontId="36" fillId="0" borderId="19" xfId="0" applyNumberFormat="1" applyFont="1" applyBorder="1" applyAlignment="1">
      <alignment vertical="center" wrapText="1"/>
    </xf>
    <xf numFmtId="188" fontId="38" fillId="0" borderId="19" xfId="0" applyNumberFormat="1" applyFont="1" applyBorder="1" applyAlignment="1">
      <alignment vertical="center" wrapText="1"/>
    </xf>
    <xf numFmtId="188" fontId="40" fillId="0" borderId="19" xfId="0" applyNumberFormat="1" applyFont="1" applyBorder="1" applyAlignment="1">
      <alignment vertical="center" wrapText="1"/>
    </xf>
    <xf numFmtId="188" fontId="41" fillId="0" borderId="19" xfId="0" applyNumberFormat="1" applyFont="1" applyBorder="1" applyAlignment="1">
      <alignment vertical="center" wrapText="1"/>
    </xf>
    <xf numFmtId="188" fontId="41" fillId="0" borderId="20" xfId="0" applyNumberFormat="1" applyFont="1" applyBorder="1" applyAlignment="1">
      <alignment vertical="center" wrapText="1"/>
    </xf>
    <xf numFmtId="188" fontId="36" fillId="0" borderId="21" xfId="0" applyNumberFormat="1" applyFont="1" applyBorder="1" applyAlignment="1">
      <alignment vertical="center" wrapText="1"/>
    </xf>
    <xf numFmtId="188" fontId="36" fillId="0" borderId="13" xfId="0" applyNumberFormat="1" applyFont="1" applyBorder="1" applyAlignment="1">
      <alignment vertical="center" wrapText="1"/>
    </xf>
    <xf numFmtId="188" fontId="36" fillId="0" borderId="22" xfId="0" applyNumberFormat="1" applyFont="1" applyBorder="1" applyAlignment="1">
      <alignment horizontal="center" vertical="center" wrapText="1"/>
    </xf>
    <xf numFmtId="188" fontId="36" fillId="0" borderId="23" xfId="0" applyNumberFormat="1" applyFont="1" applyBorder="1" applyAlignment="1">
      <alignment horizontal="center" vertical="center" wrapText="1"/>
    </xf>
    <xf numFmtId="189" fontId="36" fillId="0" borderId="24" xfId="0" applyNumberFormat="1" applyFont="1" applyBorder="1" applyAlignment="1">
      <alignment vertical="center" wrapText="1"/>
    </xf>
    <xf numFmtId="189" fontId="40" fillId="0" borderId="25" xfId="0" applyNumberFormat="1" applyFont="1" applyBorder="1" applyAlignment="1">
      <alignment vertical="center" wrapText="1"/>
    </xf>
    <xf numFmtId="189" fontId="40" fillId="0" borderId="26" xfId="0" applyNumberFormat="1" applyFont="1" applyBorder="1" applyAlignment="1">
      <alignment vertical="center" wrapText="1"/>
    </xf>
    <xf numFmtId="189" fontId="36" fillId="0" borderId="27" xfId="0" applyNumberFormat="1" applyFont="1" applyBorder="1" applyAlignment="1">
      <alignment vertical="center" wrapText="1"/>
    </xf>
    <xf numFmtId="189" fontId="40" fillId="0" borderId="28" xfId="0" applyNumberFormat="1" applyFont="1" applyBorder="1" applyAlignment="1">
      <alignment vertical="center" wrapText="1"/>
    </xf>
    <xf numFmtId="189" fontId="40" fillId="0" borderId="29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89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93" fontId="0" fillId="0" borderId="0" xfId="0" applyNumberFormat="1" applyAlignment="1">
      <alignment vertical="center"/>
    </xf>
    <xf numFmtId="0" fontId="25" fillId="10" borderId="12" xfId="0" applyFont="1" applyFill="1" applyBorder="1" applyAlignment="1">
      <alignment vertical="center" wrapText="1"/>
    </xf>
    <xf numFmtId="49" fontId="4" fillId="10" borderId="12" xfId="0" applyNumberFormat="1" applyFont="1" applyFill="1" applyBorder="1" applyAlignment="1" applyProtection="1">
      <alignment horizontal="left" vertical="center" wrapText="1"/>
      <protection/>
    </xf>
    <xf numFmtId="0" fontId="0" fillId="17" borderId="0" xfId="0" applyFont="1" applyFill="1" applyAlignment="1">
      <alignment/>
    </xf>
    <xf numFmtId="0" fontId="2" fillId="40" borderId="10" xfId="0" applyFont="1" applyFill="1" applyBorder="1" applyAlignment="1">
      <alignment horizontal="left" vertical="top" wrapText="1"/>
    </xf>
    <xf numFmtId="0" fontId="25" fillId="0" borderId="12" xfId="0" applyNumberFormat="1" applyFont="1" applyBorder="1" applyAlignment="1">
      <alignment vertical="center" wrapText="1"/>
    </xf>
    <xf numFmtId="4" fontId="47" fillId="40" borderId="10" xfId="0" applyNumberFormat="1" applyFont="1" applyFill="1" applyBorder="1" applyAlignment="1">
      <alignment/>
    </xf>
    <xf numFmtId="0" fontId="19" fillId="17" borderId="12" xfId="0" applyFont="1" applyFill="1" applyBorder="1" applyAlignment="1">
      <alignment vertical="center" wrapText="1"/>
    </xf>
    <xf numFmtId="0" fontId="0" fillId="40" borderId="0" xfId="0" applyFont="1" applyFill="1" applyAlignment="1">
      <alignment/>
    </xf>
    <xf numFmtId="193" fontId="26" fillId="0" borderId="0" xfId="0" applyNumberFormat="1" applyFont="1" applyAlignment="1">
      <alignment/>
    </xf>
    <xf numFmtId="4" fontId="47" fillId="40" borderId="10" xfId="0" applyNumberFormat="1" applyFont="1" applyFill="1" applyBorder="1" applyAlignment="1">
      <alignment horizontal="right"/>
    </xf>
    <xf numFmtId="4" fontId="47" fillId="40" borderId="10" xfId="0" applyNumberFormat="1" applyFont="1" applyFill="1" applyBorder="1" applyAlignment="1">
      <alignment/>
    </xf>
    <xf numFmtId="178" fontId="26" fillId="41" borderId="0" xfId="0" applyNumberFormat="1" applyFont="1" applyFill="1" applyAlignment="1">
      <alignment/>
    </xf>
    <xf numFmtId="178" fontId="28" fillId="0" borderId="0" xfId="0" applyNumberFormat="1" applyFont="1" applyAlignment="1">
      <alignment/>
    </xf>
    <xf numFmtId="178" fontId="26" fillId="0" borderId="0" xfId="0" applyNumberFormat="1" applyFont="1" applyAlignment="1">
      <alignment/>
    </xf>
    <xf numFmtId="0" fontId="48" fillId="0" borderId="31" xfId="0" applyFont="1" applyBorder="1" applyAlignment="1">
      <alignment vertical="center" wrapText="1"/>
    </xf>
    <xf numFmtId="0" fontId="38" fillId="40" borderId="31" xfId="0" applyFont="1" applyFill="1" applyBorder="1" applyAlignment="1">
      <alignment vertical="center" wrapText="1"/>
    </xf>
    <xf numFmtId="189" fontId="36" fillId="0" borderId="28" xfId="0" applyNumberFormat="1" applyFont="1" applyBorder="1" applyAlignment="1">
      <alignment vertical="center" wrapText="1"/>
    </xf>
    <xf numFmtId="189" fontId="36" fillId="0" borderId="33" xfId="0" applyNumberFormat="1" applyFont="1" applyBorder="1" applyAlignment="1">
      <alignment vertical="center" wrapText="1"/>
    </xf>
    <xf numFmtId="188" fontId="49" fillId="0" borderId="12" xfId="0" applyNumberFormat="1" applyFont="1" applyBorder="1" applyAlignment="1">
      <alignment vertical="center" wrapText="1"/>
    </xf>
    <xf numFmtId="189" fontId="36" fillId="0" borderId="34" xfId="0" applyNumberFormat="1" applyFont="1" applyBorder="1" applyAlignment="1">
      <alignment vertical="center" wrapText="1"/>
    </xf>
    <xf numFmtId="188" fontId="48" fillId="0" borderId="12" xfId="0" applyNumberFormat="1" applyFont="1" applyBorder="1" applyAlignment="1">
      <alignment vertical="center" wrapText="1"/>
    </xf>
    <xf numFmtId="189" fontId="36" fillId="0" borderId="35" xfId="0" applyNumberFormat="1" applyFont="1" applyBorder="1" applyAlignment="1">
      <alignment vertical="center" wrapText="1"/>
    </xf>
    <xf numFmtId="188" fontId="36" fillId="0" borderId="13" xfId="0" applyNumberFormat="1" applyFont="1" applyBorder="1" applyAlignment="1">
      <alignment vertical="center" wrapText="1"/>
    </xf>
    <xf numFmtId="189" fontId="36" fillId="0" borderId="25" xfId="0" applyNumberFormat="1" applyFont="1" applyBorder="1" applyAlignment="1">
      <alignment vertical="center" wrapText="1"/>
    </xf>
    <xf numFmtId="189" fontId="40" fillId="0" borderId="25" xfId="0" applyNumberFormat="1" applyFont="1" applyBorder="1" applyAlignment="1">
      <alignment vertical="center" wrapText="1"/>
    </xf>
    <xf numFmtId="188" fontId="36" fillId="0" borderId="12" xfId="0" applyNumberFormat="1" applyFont="1" applyBorder="1" applyAlignment="1">
      <alignment vertical="center" wrapText="1"/>
    </xf>
    <xf numFmtId="188" fontId="40" fillId="0" borderId="12" xfId="0" applyNumberFormat="1" applyFont="1" applyBorder="1" applyAlignment="1">
      <alignment vertical="center" wrapText="1"/>
    </xf>
    <xf numFmtId="189" fontId="36" fillId="0" borderId="36" xfId="0" applyNumberFormat="1" applyFont="1" applyBorder="1" applyAlignment="1">
      <alignment vertical="center" wrapText="1"/>
    </xf>
    <xf numFmtId="178" fontId="35" fillId="0" borderId="0" xfId="0" applyNumberFormat="1" applyFont="1" applyAlignment="1">
      <alignment/>
    </xf>
    <xf numFmtId="188" fontId="36" fillId="40" borderId="21" xfId="0" applyNumberFormat="1" applyFont="1" applyFill="1" applyBorder="1" applyAlignment="1">
      <alignment vertical="center" wrapText="1"/>
    </xf>
    <xf numFmtId="177" fontId="11" fillId="40" borderId="10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178" fontId="87" fillId="0" borderId="10" xfId="0" applyNumberFormat="1" applyFont="1" applyBorder="1" applyAlignment="1">
      <alignment vertical="center"/>
    </xf>
    <xf numFmtId="178" fontId="87" fillId="40" borderId="10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horizontal="center" vertical="center" wrapText="1"/>
    </xf>
    <xf numFmtId="193" fontId="0" fillId="0" borderId="14" xfId="0" applyNumberFormat="1" applyBorder="1" applyAlignment="1">
      <alignment vertical="center"/>
    </xf>
    <xf numFmtId="189" fontId="15" fillId="40" borderId="10" xfId="0" applyNumberFormat="1" applyFont="1" applyFill="1" applyBorder="1" applyAlignment="1">
      <alignment vertical="center"/>
    </xf>
    <xf numFmtId="188" fontId="25" fillId="40" borderId="12" xfId="0" applyNumberFormat="1" applyFont="1" applyFill="1" applyBorder="1" applyAlignment="1">
      <alignment vertical="center" wrapText="1"/>
    </xf>
    <xf numFmtId="188" fontId="23" fillId="40" borderId="12" xfId="0" applyNumberFormat="1" applyFont="1" applyFill="1" applyBorder="1" applyAlignment="1">
      <alignment vertical="center" wrapText="1"/>
    </xf>
    <xf numFmtId="177" fontId="23" fillId="40" borderId="12" xfId="0" applyNumberFormat="1" applyFont="1" applyFill="1" applyBorder="1" applyAlignment="1">
      <alignment vertical="center" wrapText="1"/>
    </xf>
    <xf numFmtId="180" fontId="23" fillId="40" borderId="12" xfId="0" applyNumberFormat="1" applyFont="1" applyFill="1" applyBorder="1" applyAlignment="1">
      <alignment vertical="center" wrapText="1"/>
    </xf>
    <xf numFmtId="194" fontId="24" fillId="39" borderId="12" xfId="0" applyNumberFormat="1" applyFont="1" applyFill="1" applyBorder="1" applyAlignment="1">
      <alignment vertical="center" wrapText="1"/>
    </xf>
    <xf numFmtId="180" fontId="15" fillId="40" borderId="1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0" fillId="37" borderId="38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horizontal="center" wrapText="1"/>
    </xf>
    <xf numFmtId="0" fontId="0" fillId="0" borderId="17" xfId="0" applyBorder="1" applyAlignment="1">
      <alignment vertical="center"/>
    </xf>
    <xf numFmtId="0" fontId="1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31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4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3" fillId="40" borderId="42" xfId="0" applyFont="1" applyFill="1" applyBorder="1" applyAlignment="1">
      <alignment horizontal="center" vertical="center" wrapText="1"/>
    </xf>
    <xf numFmtId="0" fontId="23" fillId="40" borderId="26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40" borderId="18" xfId="0" applyFont="1" applyFill="1" applyBorder="1" applyAlignment="1">
      <alignment horizontal="center" vertical="center" wrapText="1"/>
    </xf>
    <xf numFmtId="0" fontId="18" fillId="40" borderId="13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89" fontId="36" fillId="0" borderId="16" xfId="0" applyNumberFormat="1" applyFont="1" applyBorder="1" applyAlignment="1">
      <alignment horizontal="center" vertical="center" wrapText="1"/>
    </xf>
    <xf numFmtId="189" fontId="36" fillId="0" borderId="40" xfId="0" applyNumberFormat="1" applyFont="1" applyBorder="1" applyAlignment="1">
      <alignment horizontal="center" vertical="center" wrapText="1"/>
    </xf>
    <xf numFmtId="189" fontId="36" fillId="0" borderId="44" xfId="0" applyNumberFormat="1" applyFont="1" applyBorder="1" applyAlignment="1">
      <alignment horizontal="center" vertical="center" wrapText="1"/>
    </xf>
    <xf numFmtId="189" fontId="36" fillId="0" borderId="45" xfId="0" applyNumberFormat="1" applyFont="1" applyBorder="1" applyAlignment="1">
      <alignment horizontal="center" vertical="center" wrapText="1"/>
    </xf>
    <xf numFmtId="189" fontId="36" fillId="0" borderId="46" xfId="0" applyNumberFormat="1" applyFont="1" applyBorder="1" applyAlignment="1">
      <alignment horizontal="center" vertical="center" wrapText="1"/>
    </xf>
    <xf numFmtId="189" fontId="36" fillId="0" borderId="47" xfId="0" applyNumberFormat="1" applyFont="1" applyBorder="1" applyAlignment="1">
      <alignment horizontal="center" vertical="center" wrapText="1"/>
    </xf>
    <xf numFmtId="189" fontId="36" fillId="0" borderId="48" xfId="0" applyNumberFormat="1" applyFont="1" applyBorder="1" applyAlignment="1">
      <alignment horizontal="center" vertical="center" wrapText="1"/>
    </xf>
    <xf numFmtId="189" fontId="36" fillId="0" borderId="49" xfId="0" applyNumberFormat="1" applyFont="1" applyBorder="1" applyAlignment="1">
      <alignment horizontal="center" vertical="center" wrapText="1"/>
    </xf>
    <xf numFmtId="189" fontId="36" fillId="0" borderId="50" xfId="0" applyNumberFormat="1" applyFont="1" applyBorder="1" applyAlignment="1">
      <alignment horizontal="center" vertical="center" wrapText="1"/>
    </xf>
    <xf numFmtId="189" fontId="36" fillId="0" borderId="51" xfId="0" applyNumberFormat="1" applyFont="1" applyBorder="1" applyAlignment="1">
      <alignment horizontal="center" vertical="center" wrapText="1"/>
    </xf>
    <xf numFmtId="189" fontId="36" fillId="0" borderId="52" xfId="0" applyNumberFormat="1" applyFont="1" applyBorder="1" applyAlignment="1">
      <alignment horizontal="center" vertical="center" wrapText="1"/>
    </xf>
    <xf numFmtId="189" fontId="36" fillId="0" borderId="53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96" zoomScaleNormal="96" workbookViewId="0" topLeftCell="A1">
      <selection activeCell="F58" sqref="F58"/>
    </sheetView>
  </sheetViews>
  <sheetFormatPr defaultColWidth="58.25390625" defaultRowHeight="12.75"/>
  <cols>
    <col min="1" max="1" width="52.75390625" style="15" customWidth="1"/>
    <col min="2" max="2" width="15.25390625" style="15" customWidth="1"/>
    <col min="3" max="5" width="16.25390625" style="15" customWidth="1"/>
    <col min="6" max="6" width="10.75390625" style="15" customWidth="1"/>
    <col min="7" max="7" width="19.125" style="15" customWidth="1"/>
    <col min="8" max="16384" width="58.25390625" style="15" customWidth="1"/>
  </cols>
  <sheetData>
    <row r="1" spans="6:7" ht="42" customHeight="1">
      <c r="F1" s="266" t="s">
        <v>128</v>
      </c>
      <c r="G1" s="266"/>
    </row>
    <row r="2" spans="6:7" ht="18" customHeight="1">
      <c r="F2" s="265" t="s">
        <v>179</v>
      </c>
      <c r="G2" s="265"/>
    </row>
    <row r="3" spans="6:7" ht="18.75" customHeight="1">
      <c r="F3" s="172"/>
      <c r="G3" s="171" t="s">
        <v>129</v>
      </c>
    </row>
    <row r="4" spans="1:7" s="137" customFormat="1" ht="72" customHeight="1">
      <c r="A4" s="267" t="s">
        <v>144</v>
      </c>
      <c r="B4" s="267"/>
      <c r="C4" s="267"/>
      <c r="D4" s="267"/>
      <c r="E4" s="267"/>
      <c r="F4" s="267"/>
      <c r="G4" s="267"/>
    </row>
    <row r="5" spans="1:7" s="137" customFormat="1" ht="21" customHeight="1">
      <c r="A5" s="267" t="s">
        <v>213</v>
      </c>
      <c r="B5" s="267"/>
      <c r="C5" s="267"/>
      <c r="D5" s="267"/>
      <c r="E5" s="267"/>
      <c r="F5" s="267"/>
      <c r="G5" s="267"/>
    </row>
    <row r="6" spans="1:7" s="138" customFormat="1" ht="13.5" customHeight="1">
      <c r="A6" s="268" t="s">
        <v>79</v>
      </c>
      <c r="B6" s="268"/>
      <c r="C6" s="268"/>
      <c r="D6" s="268"/>
      <c r="E6" s="268"/>
      <c r="F6" s="268"/>
      <c r="G6" s="268"/>
    </row>
    <row r="7" spans="1:7" ht="15" customHeight="1">
      <c r="A7" s="5"/>
      <c r="B7" s="5"/>
      <c r="C7" s="5"/>
      <c r="D7" s="5"/>
      <c r="E7" s="5"/>
      <c r="F7" s="173"/>
      <c r="G7" s="19"/>
    </row>
    <row r="8" spans="1:9" s="10" customFormat="1" ht="16.5" customHeight="1">
      <c r="A8" s="270" t="s">
        <v>5</v>
      </c>
      <c r="B8" s="257" t="s">
        <v>143</v>
      </c>
      <c r="C8" s="258"/>
      <c r="D8" s="257" t="s">
        <v>178</v>
      </c>
      <c r="E8" s="258"/>
      <c r="F8" s="262" t="s">
        <v>180</v>
      </c>
      <c r="G8" s="269" t="s">
        <v>181</v>
      </c>
      <c r="H8" s="6"/>
      <c r="I8" s="6"/>
    </row>
    <row r="9" spans="1:9" s="10" customFormat="1" ht="14.25" customHeight="1">
      <c r="A9" s="270"/>
      <c r="B9" s="259" t="s">
        <v>37</v>
      </c>
      <c r="C9" s="262" t="s">
        <v>103</v>
      </c>
      <c r="D9" s="259" t="s">
        <v>145</v>
      </c>
      <c r="E9" s="262" t="s">
        <v>103</v>
      </c>
      <c r="F9" s="263"/>
      <c r="G9" s="269"/>
      <c r="H9" s="6"/>
      <c r="I9" s="6"/>
    </row>
    <row r="10" spans="1:9" s="10" customFormat="1" ht="14.25" customHeight="1">
      <c r="A10" s="270"/>
      <c r="B10" s="260"/>
      <c r="C10" s="263"/>
      <c r="D10" s="260"/>
      <c r="E10" s="263"/>
      <c r="F10" s="263"/>
      <c r="G10" s="269"/>
      <c r="H10" s="6"/>
      <c r="I10" s="6"/>
    </row>
    <row r="11" spans="1:9" s="10" customFormat="1" ht="40.5" customHeight="1">
      <c r="A11" s="270"/>
      <c r="B11" s="261"/>
      <c r="C11" s="264"/>
      <c r="D11" s="261"/>
      <c r="E11" s="264"/>
      <c r="F11" s="264"/>
      <c r="G11" s="269"/>
      <c r="H11" s="6"/>
      <c r="I11" s="6"/>
    </row>
    <row r="12" spans="1:9" s="10" customFormat="1" ht="12.75">
      <c r="A12" s="16">
        <v>1</v>
      </c>
      <c r="B12" s="16">
        <v>4</v>
      </c>
      <c r="C12" s="16">
        <v>5</v>
      </c>
      <c r="D12" s="16">
        <v>6</v>
      </c>
      <c r="E12" s="16">
        <v>7</v>
      </c>
      <c r="F12" s="16" t="s">
        <v>124</v>
      </c>
      <c r="G12" s="3">
        <v>10</v>
      </c>
      <c r="H12" s="14"/>
      <c r="I12" s="14"/>
    </row>
    <row r="13" spans="1:7" s="17" customFormat="1" ht="15.75" customHeight="1">
      <c r="A13" s="20" t="s">
        <v>8</v>
      </c>
      <c r="B13" s="38">
        <f>B15+B16</f>
        <v>16</v>
      </c>
      <c r="C13" s="38">
        <f>C15+C16</f>
        <v>9559.72</v>
      </c>
      <c r="D13" s="38">
        <f>D15</f>
        <v>16</v>
      </c>
      <c r="E13" s="38">
        <f>E15</f>
        <v>10520.2</v>
      </c>
      <c r="F13" s="22">
        <f>E13/C13</f>
        <v>1.1004715619285923</v>
      </c>
      <c r="G13" s="21"/>
    </row>
    <row r="14" spans="1:7" s="17" customFormat="1" ht="15.75" customHeight="1">
      <c r="A14" s="23" t="s">
        <v>7</v>
      </c>
      <c r="B14" s="39"/>
      <c r="C14" s="39"/>
      <c r="D14" s="39"/>
      <c r="E14" s="39"/>
      <c r="F14" s="24"/>
      <c r="G14" s="25"/>
    </row>
    <row r="15" spans="1:7" s="17" customFormat="1" ht="15.75" customHeight="1">
      <c r="A15" s="18" t="s">
        <v>77</v>
      </c>
      <c r="B15" s="39">
        <v>16</v>
      </c>
      <c r="C15" s="39">
        <v>9559.72</v>
      </c>
      <c r="D15" s="39">
        <v>16</v>
      </c>
      <c r="E15" s="249">
        <v>10520.2</v>
      </c>
      <c r="F15" s="24">
        <f>E15/C15</f>
        <v>1.1004715619285923</v>
      </c>
      <c r="G15" s="25"/>
    </row>
    <row r="16" spans="1:7" s="17" customFormat="1" ht="15.75" customHeight="1">
      <c r="A16" s="18" t="s">
        <v>78</v>
      </c>
      <c r="B16" s="39"/>
      <c r="C16" s="39"/>
      <c r="D16" s="39"/>
      <c r="E16" s="39"/>
      <c r="F16" s="24" t="e">
        <f aca="true" t="shared" si="0" ref="F16:F60">E16/C16</f>
        <v>#DIV/0!</v>
      </c>
      <c r="G16" s="25"/>
    </row>
    <row r="17" spans="1:7" s="17" customFormat="1" ht="15.75" customHeight="1" hidden="1">
      <c r="A17" s="20" t="s">
        <v>38</v>
      </c>
      <c r="B17" s="38">
        <f>B19+B20</f>
        <v>0</v>
      </c>
      <c r="C17" s="38">
        <f>C19+C20</f>
        <v>0</v>
      </c>
      <c r="D17" s="38"/>
      <c r="E17" s="38"/>
      <c r="F17" s="22" t="e">
        <f t="shared" si="0"/>
        <v>#DIV/0!</v>
      </c>
      <c r="G17" s="21"/>
    </row>
    <row r="18" spans="1:7" s="17" customFormat="1" ht="15.75" customHeight="1" hidden="1">
      <c r="A18" s="23" t="s">
        <v>7</v>
      </c>
      <c r="B18" s="39"/>
      <c r="C18" s="39"/>
      <c r="D18" s="39"/>
      <c r="E18" s="39"/>
      <c r="F18" s="24"/>
      <c r="G18" s="25"/>
    </row>
    <row r="19" spans="1:7" s="17" customFormat="1" ht="15.75" customHeight="1" hidden="1">
      <c r="A19" s="18" t="s">
        <v>77</v>
      </c>
      <c r="B19" s="39"/>
      <c r="C19" s="39"/>
      <c r="D19" s="39"/>
      <c r="E19" s="39"/>
      <c r="F19" s="24" t="e">
        <f t="shared" si="0"/>
        <v>#DIV/0!</v>
      </c>
      <c r="G19" s="25"/>
    </row>
    <row r="20" spans="1:7" s="17" customFormat="1" ht="15.75" customHeight="1" hidden="1">
      <c r="A20" s="18" t="s">
        <v>78</v>
      </c>
      <c r="B20" s="39"/>
      <c r="C20" s="39"/>
      <c r="D20" s="39"/>
      <c r="E20" s="39"/>
      <c r="F20" s="24" t="e">
        <f t="shared" si="0"/>
        <v>#DIV/0!</v>
      </c>
      <c r="G20" s="25"/>
    </row>
    <row r="21" spans="1:7" s="17" customFormat="1" ht="28.5" hidden="1">
      <c r="A21" s="20" t="s">
        <v>39</v>
      </c>
      <c r="B21" s="38">
        <f>B23+B24</f>
        <v>0</v>
      </c>
      <c r="C21" s="38">
        <f>C23+C24</f>
        <v>0</v>
      </c>
      <c r="D21" s="38"/>
      <c r="E21" s="38"/>
      <c r="F21" s="22" t="e">
        <f t="shared" si="0"/>
        <v>#DIV/0!</v>
      </c>
      <c r="G21" s="21"/>
    </row>
    <row r="22" spans="1:7" s="17" customFormat="1" ht="12.75" hidden="1">
      <c r="A22" s="23" t="s">
        <v>7</v>
      </c>
      <c r="B22" s="39"/>
      <c r="C22" s="39"/>
      <c r="D22" s="39"/>
      <c r="E22" s="39"/>
      <c r="F22" s="24"/>
      <c r="G22" s="25"/>
    </row>
    <row r="23" spans="1:7" s="17" customFormat="1" ht="14.25" customHeight="1" hidden="1">
      <c r="A23" s="18" t="s">
        <v>77</v>
      </c>
      <c r="B23" s="39"/>
      <c r="C23" s="39"/>
      <c r="D23" s="39"/>
      <c r="E23" s="39"/>
      <c r="F23" s="24" t="e">
        <f t="shared" si="0"/>
        <v>#DIV/0!</v>
      </c>
      <c r="G23" s="25"/>
    </row>
    <row r="24" spans="1:7" s="17" customFormat="1" ht="14.25" customHeight="1" hidden="1">
      <c r="A24" s="18" t="s">
        <v>78</v>
      </c>
      <c r="B24" s="39"/>
      <c r="C24" s="39"/>
      <c r="D24" s="39"/>
      <c r="E24" s="39"/>
      <c r="F24" s="24" t="e">
        <f t="shared" si="0"/>
        <v>#DIV/0!</v>
      </c>
      <c r="G24" s="25"/>
    </row>
    <row r="25" spans="1:7" s="17" customFormat="1" ht="14.25" customHeight="1" hidden="1">
      <c r="A25" s="20" t="s">
        <v>40</v>
      </c>
      <c r="B25" s="38">
        <f>B27+B28</f>
        <v>0</v>
      </c>
      <c r="C25" s="38">
        <f>C27+C28</f>
        <v>0</v>
      </c>
      <c r="D25" s="38"/>
      <c r="E25" s="38"/>
      <c r="F25" s="22" t="e">
        <f t="shared" si="0"/>
        <v>#DIV/0!</v>
      </c>
      <c r="G25" s="21"/>
    </row>
    <row r="26" spans="1:7" s="17" customFormat="1" ht="14.25" customHeight="1" hidden="1">
      <c r="A26" s="23" t="s">
        <v>7</v>
      </c>
      <c r="B26" s="39"/>
      <c r="C26" s="39"/>
      <c r="D26" s="39"/>
      <c r="E26" s="39"/>
      <c r="F26" s="24"/>
      <c r="G26" s="25"/>
    </row>
    <row r="27" spans="1:7" s="17" customFormat="1" ht="14.25" customHeight="1" hidden="1">
      <c r="A27" s="18" t="s">
        <v>77</v>
      </c>
      <c r="B27" s="39"/>
      <c r="C27" s="39"/>
      <c r="D27" s="39"/>
      <c r="E27" s="39"/>
      <c r="F27" s="24" t="e">
        <f t="shared" si="0"/>
        <v>#DIV/0!</v>
      </c>
      <c r="G27" s="25"/>
    </row>
    <row r="28" spans="1:7" s="17" customFormat="1" ht="14.25" customHeight="1" hidden="1">
      <c r="A28" s="18" t="s">
        <v>78</v>
      </c>
      <c r="B28" s="39"/>
      <c r="C28" s="39"/>
      <c r="D28" s="39"/>
      <c r="E28" s="39"/>
      <c r="F28" s="24" t="e">
        <f t="shared" si="0"/>
        <v>#DIV/0!</v>
      </c>
      <c r="G28" s="25"/>
    </row>
    <row r="29" spans="1:7" s="17" customFormat="1" ht="14.25" customHeight="1">
      <c r="A29" s="20" t="s">
        <v>41</v>
      </c>
      <c r="B29" s="38">
        <f>B31+B32</f>
        <v>3.5</v>
      </c>
      <c r="C29" s="38">
        <f>C31+C32</f>
        <v>1639.19696</v>
      </c>
      <c r="D29" s="38">
        <f>D31</f>
        <v>3.5</v>
      </c>
      <c r="E29" s="38">
        <f>E31</f>
        <v>1706.77</v>
      </c>
      <c r="F29" s="22">
        <f t="shared" si="0"/>
        <v>1.0412232584911578</v>
      </c>
      <c r="G29" s="21"/>
    </row>
    <row r="30" spans="1:7" s="17" customFormat="1" ht="14.25" customHeight="1">
      <c r="A30" s="23" t="s">
        <v>7</v>
      </c>
      <c r="B30" s="39"/>
      <c r="C30" s="39"/>
      <c r="D30" s="39"/>
      <c r="E30" s="39"/>
      <c r="F30" s="24" t="e">
        <f t="shared" si="0"/>
        <v>#DIV/0!</v>
      </c>
      <c r="G30" s="25"/>
    </row>
    <row r="31" spans="1:7" s="17" customFormat="1" ht="14.25" customHeight="1">
      <c r="A31" s="18" t="s">
        <v>77</v>
      </c>
      <c r="B31" s="39">
        <v>3.5</v>
      </c>
      <c r="C31" s="39">
        <v>1639.19696</v>
      </c>
      <c r="D31" s="39">
        <v>3.5</v>
      </c>
      <c r="E31" s="39">
        <v>1706.77</v>
      </c>
      <c r="F31" s="24">
        <f t="shared" si="0"/>
        <v>1.0412232584911578</v>
      </c>
      <c r="G31" s="25"/>
    </row>
    <row r="32" spans="1:7" s="17" customFormat="1" ht="14.25" customHeight="1">
      <c r="A32" s="18" t="s">
        <v>78</v>
      </c>
      <c r="B32" s="39"/>
      <c r="C32" s="39"/>
      <c r="D32" s="39"/>
      <c r="E32" s="39"/>
      <c r="F32" s="24" t="e">
        <f t="shared" si="0"/>
        <v>#DIV/0!</v>
      </c>
      <c r="G32" s="25"/>
    </row>
    <row r="33" spans="1:7" s="17" customFormat="1" ht="14.25" customHeight="1" hidden="1">
      <c r="A33" s="20" t="s">
        <v>42</v>
      </c>
      <c r="B33" s="38">
        <f>B35+B36</f>
        <v>0</v>
      </c>
      <c r="C33" s="38">
        <f>C35+C36</f>
        <v>0</v>
      </c>
      <c r="D33" s="38"/>
      <c r="E33" s="38"/>
      <c r="F33" s="22" t="e">
        <f t="shared" si="0"/>
        <v>#DIV/0!</v>
      </c>
      <c r="G33" s="21"/>
    </row>
    <row r="34" spans="1:7" s="17" customFormat="1" ht="14.25" customHeight="1" hidden="1">
      <c r="A34" s="23" t="s">
        <v>7</v>
      </c>
      <c r="B34" s="39"/>
      <c r="C34" s="39"/>
      <c r="D34" s="39"/>
      <c r="E34" s="39"/>
      <c r="F34" s="24"/>
      <c r="G34" s="25"/>
    </row>
    <row r="35" spans="1:7" s="17" customFormat="1" ht="14.25" customHeight="1" hidden="1">
      <c r="A35" s="18" t="s">
        <v>77</v>
      </c>
      <c r="B35" s="39"/>
      <c r="C35" s="39"/>
      <c r="D35" s="39"/>
      <c r="E35" s="39"/>
      <c r="F35" s="24" t="e">
        <f t="shared" si="0"/>
        <v>#DIV/0!</v>
      </c>
      <c r="G35" s="25"/>
    </row>
    <row r="36" spans="1:7" s="17" customFormat="1" ht="15" customHeight="1" hidden="1">
      <c r="A36" s="18" t="s">
        <v>78</v>
      </c>
      <c r="B36" s="39"/>
      <c r="C36" s="39"/>
      <c r="D36" s="39"/>
      <c r="E36" s="39"/>
      <c r="F36" s="24" t="e">
        <f t="shared" si="0"/>
        <v>#DIV/0!</v>
      </c>
      <c r="G36" s="25"/>
    </row>
    <row r="37" spans="1:7" s="17" customFormat="1" ht="15" customHeight="1">
      <c r="A37" s="20" t="s">
        <v>43</v>
      </c>
      <c r="B37" s="38">
        <f>B39+B40</f>
        <v>29</v>
      </c>
      <c r="C37" s="38">
        <f>C39+C40</f>
        <v>14747.73916</v>
      </c>
      <c r="D37" s="38">
        <f>D39+D40</f>
        <v>29</v>
      </c>
      <c r="E37" s="38">
        <f>E39+E40</f>
        <v>14403.75</v>
      </c>
      <c r="F37" s="22">
        <f t="shared" si="0"/>
        <v>0.9766751258434924</v>
      </c>
      <c r="G37" s="21"/>
    </row>
    <row r="38" spans="1:7" s="17" customFormat="1" ht="15" customHeight="1">
      <c r="A38" s="23" t="s">
        <v>7</v>
      </c>
      <c r="B38" s="249"/>
      <c r="C38" s="249"/>
      <c r="D38" s="249"/>
      <c r="E38" s="39"/>
      <c r="F38" s="24"/>
      <c r="G38" s="25"/>
    </row>
    <row r="39" spans="1:7" s="17" customFormat="1" ht="15" customHeight="1">
      <c r="A39" s="18" t="s">
        <v>77</v>
      </c>
      <c r="B39" s="249">
        <f>2+2.5+9.5+9</f>
        <v>23</v>
      </c>
      <c r="C39" s="249">
        <v>11876.85343</v>
      </c>
      <c r="D39" s="249">
        <f>2+2.5+9.5+9</f>
        <v>23</v>
      </c>
      <c r="E39" s="39">
        <f>11414.55</f>
        <v>11414.55</v>
      </c>
      <c r="F39" s="255">
        <f t="shared" si="0"/>
        <v>0.9610752601499436</v>
      </c>
      <c r="G39" s="25"/>
    </row>
    <row r="40" spans="1:7" s="17" customFormat="1" ht="15" customHeight="1">
      <c r="A40" s="18" t="s">
        <v>78</v>
      </c>
      <c r="B40" s="249">
        <v>6</v>
      </c>
      <c r="C40" s="249">
        <v>2870.88573</v>
      </c>
      <c r="D40" s="249">
        <v>6</v>
      </c>
      <c r="E40" s="39">
        <v>2989.2</v>
      </c>
      <c r="F40" s="24">
        <f>E40/C40</f>
        <v>1.0412117656804125</v>
      </c>
      <c r="G40" s="25"/>
    </row>
    <row r="41" spans="1:7" s="17" customFormat="1" ht="15" customHeight="1">
      <c r="A41" s="20" t="s">
        <v>44</v>
      </c>
      <c r="B41" s="38">
        <f>B43+B44</f>
        <v>27</v>
      </c>
      <c r="C41" s="38">
        <f>C43+C44</f>
        <v>10408.60584</v>
      </c>
      <c r="D41" s="38">
        <f>D43</f>
        <v>27</v>
      </c>
      <c r="E41" s="38">
        <f>E43</f>
        <v>11833.21</v>
      </c>
      <c r="F41" s="22">
        <f t="shared" si="0"/>
        <v>1.1368679131383075</v>
      </c>
      <c r="G41" s="21"/>
    </row>
    <row r="42" spans="1:7" s="10" customFormat="1" ht="15" customHeight="1">
      <c r="A42" s="23" t="s">
        <v>7</v>
      </c>
      <c r="B42" s="39"/>
      <c r="C42" s="39"/>
      <c r="D42" s="39"/>
      <c r="E42" s="39"/>
      <c r="F42" s="24"/>
      <c r="G42" s="26"/>
    </row>
    <row r="43" spans="1:7" s="17" customFormat="1" ht="15" customHeight="1">
      <c r="A43" s="18" t="s">
        <v>77</v>
      </c>
      <c r="B43" s="39">
        <v>27</v>
      </c>
      <c r="C43" s="39">
        <v>10408.60584</v>
      </c>
      <c r="D43" s="39">
        <v>27</v>
      </c>
      <c r="E43" s="39">
        <v>11833.21</v>
      </c>
      <c r="F43" s="24">
        <f>E43/C43</f>
        <v>1.1368679131383075</v>
      </c>
      <c r="G43" s="25"/>
    </row>
    <row r="44" spans="1:7" s="10" customFormat="1" ht="15" customHeight="1">
      <c r="A44" s="18" t="s">
        <v>78</v>
      </c>
      <c r="B44" s="39"/>
      <c r="C44" s="39"/>
      <c r="D44" s="39"/>
      <c r="E44" s="39"/>
      <c r="F44" s="24" t="e">
        <f t="shared" si="0"/>
        <v>#DIV/0!</v>
      </c>
      <c r="G44" s="26"/>
    </row>
    <row r="45" spans="1:7" s="10" customFormat="1" ht="15" customHeight="1" hidden="1">
      <c r="A45" s="20" t="s">
        <v>45</v>
      </c>
      <c r="B45" s="38">
        <f>B47+B48</f>
        <v>0</v>
      </c>
      <c r="C45" s="38">
        <f>C47+C48</f>
        <v>0</v>
      </c>
      <c r="D45" s="38"/>
      <c r="E45" s="38"/>
      <c r="F45" s="22" t="e">
        <f t="shared" si="0"/>
        <v>#DIV/0!</v>
      </c>
      <c r="G45" s="21"/>
    </row>
    <row r="46" spans="1:7" s="10" customFormat="1" ht="15" customHeight="1" hidden="1">
      <c r="A46" s="23" t="s">
        <v>7</v>
      </c>
      <c r="B46" s="39"/>
      <c r="C46" s="39"/>
      <c r="D46" s="39"/>
      <c r="E46" s="39"/>
      <c r="F46" s="24"/>
      <c r="G46" s="26"/>
    </row>
    <row r="47" spans="1:7" s="10" customFormat="1" ht="15" customHeight="1" hidden="1">
      <c r="A47" s="18" t="s">
        <v>77</v>
      </c>
      <c r="B47" s="39"/>
      <c r="C47" s="39"/>
      <c r="D47" s="39"/>
      <c r="E47" s="39"/>
      <c r="F47" s="24" t="e">
        <f t="shared" si="0"/>
        <v>#DIV/0!</v>
      </c>
      <c r="G47" s="26"/>
    </row>
    <row r="48" spans="1:7" s="10" customFormat="1" ht="15" customHeight="1" hidden="1">
      <c r="A48" s="18" t="s">
        <v>78</v>
      </c>
      <c r="B48" s="39"/>
      <c r="C48" s="39"/>
      <c r="D48" s="39"/>
      <c r="E48" s="39"/>
      <c r="F48" s="24" t="e">
        <f t="shared" si="0"/>
        <v>#DIV/0!</v>
      </c>
      <c r="G48" s="26"/>
    </row>
    <row r="49" spans="1:7" s="10" customFormat="1" ht="15" customHeight="1" hidden="1">
      <c r="A49" s="20" t="s">
        <v>46</v>
      </c>
      <c r="B49" s="38">
        <f>B51+B52</f>
        <v>0</v>
      </c>
      <c r="C49" s="38">
        <f>C51+C52</f>
        <v>0</v>
      </c>
      <c r="D49" s="38"/>
      <c r="E49" s="38"/>
      <c r="F49" s="22" t="e">
        <f t="shared" si="0"/>
        <v>#DIV/0!</v>
      </c>
      <c r="G49" s="21"/>
    </row>
    <row r="50" spans="1:7" s="10" customFormat="1" ht="15" customHeight="1" hidden="1">
      <c r="A50" s="23" t="s">
        <v>7</v>
      </c>
      <c r="B50" s="39"/>
      <c r="C50" s="39"/>
      <c r="D50" s="39"/>
      <c r="E50" s="39"/>
      <c r="F50" s="24"/>
      <c r="G50" s="26"/>
    </row>
    <row r="51" spans="1:7" s="10" customFormat="1" ht="15" customHeight="1" hidden="1">
      <c r="A51" s="18" t="s">
        <v>77</v>
      </c>
      <c r="B51" s="39"/>
      <c r="D51" s="39"/>
      <c r="E51" s="39"/>
      <c r="F51" s="24">
        <f>E51/C43</f>
        <v>0</v>
      </c>
      <c r="G51" s="26"/>
    </row>
    <row r="52" spans="1:7" s="10" customFormat="1" ht="15" customHeight="1" hidden="1">
      <c r="A52" s="18" t="s">
        <v>78</v>
      </c>
      <c r="B52" s="39"/>
      <c r="C52" s="39"/>
      <c r="D52" s="39"/>
      <c r="E52" s="39"/>
      <c r="F52" s="24" t="e">
        <f t="shared" si="0"/>
        <v>#DIV/0!</v>
      </c>
      <c r="G52" s="26"/>
    </row>
    <row r="53" spans="1:7" s="10" customFormat="1" ht="15" customHeight="1">
      <c r="A53" s="20" t="s">
        <v>47</v>
      </c>
      <c r="B53" s="38">
        <f>B55+B56</f>
        <v>2.3</v>
      </c>
      <c r="C53" s="38">
        <f>C55+C56</f>
        <v>823.78364</v>
      </c>
      <c r="D53" s="38">
        <f>D55</f>
        <v>2.3</v>
      </c>
      <c r="E53" s="38">
        <f>E55</f>
        <v>784.56</v>
      </c>
      <c r="F53" s="22">
        <f t="shared" si="0"/>
        <v>0.9523859930017546</v>
      </c>
      <c r="G53" s="21"/>
    </row>
    <row r="54" spans="1:7" s="10" customFormat="1" ht="15" customHeight="1">
      <c r="A54" s="23" t="s">
        <v>7</v>
      </c>
      <c r="B54" s="39"/>
      <c r="C54" s="39"/>
      <c r="D54" s="39"/>
      <c r="E54" s="39"/>
      <c r="F54" s="24"/>
      <c r="G54" s="26"/>
    </row>
    <row r="55" spans="1:7" s="10" customFormat="1" ht="15" customHeight="1">
      <c r="A55" s="18" t="s">
        <v>77</v>
      </c>
      <c r="B55" s="39">
        <v>2.3</v>
      </c>
      <c r="C55" s="39">
        <v>823.78364</v>
      </c>
      <c r="D55" s="39">
        <v>2.3</v>
      </c>
      <c r="E55" s="39">
        <v>784.56</v>
      </c>
      <c r="F55" s="255">
        <f t="shared" si="0"/>
        <v>0.9523859930017546</v>
      </c>
      <c r="G55" s="26"/>
    </row>
    <row r="56" spans="1:7" s="10" customFormat="1" ht="15" customHeight="1">
      <c r="A56" s="18" t="s">
        <v>78</v>
      </c>
      <c r="B56" s="39"/>
      <c r="C56" s="39"/>
      <c r="D56" s="39"/>
      <c r="E56" s="39"/>
      <c r="F56" s="24" t="e">
        <f t="shared" si="0"/>
        <v>#DIV/0!</v>
      </c>
      <c r="G56" s="26"/>
    </row>
    <row r="57" spans="1:7" s="10" customFormat="1" ht="15" customHeight="1">
      <c r="A57" s="20" t="s">
        <v>48</v>
      </c>
      <c r="B57" s="38">
        <f>B59+B60</f>
        <v>78.8</v>
      </c>
      <c r="C57" s="38">
        <f>E59+E60</f>
        <v>39793.16999999999</v>
      </c>
      <c r="D57" s="38">
        <f>D59+D60</f>
        <v>78.8</v>
      </c>
      <c r="E57" s="38">
        <f>E59+E60</f>
        <v>39793.16999999999</v>
      </c>
      <c r="F57" s="22">
        <f t="shared" si="0"/>
        <v>1</v>
      </c>
      <c r="G57" s="21"/>
    </row>
    <row r="58" spans="1:7" s="10" customFormat="1" ht="15" customHeight="1">
      <c r="A58" s="23" t="s">
        <v>7</v>
      </c>
      <c r="B58" s="39"/>
      <c r="C58" s="39"/>
      <c r="D58" s="39"/>
      <c r="E58" s="39"/>
      <c r="F58" s="24"/>
      <c r="G58" s="26"/>
    </row>
    <row r="59" spans="1:7" s="10" customFormat="1" ht="15" customHeight="1">
      <c r="A59" s="18" t="s">
        <v>77</v>
      </c>
      <c r="B59" s="40">
        <f>B15+B19+B23+B27+B31+B35+B39+B43+B47+B51+B55+1</f>
        <v>72.8</v>
      </c>
      <c r="C59" s="40">
        <f>C15+C19+C23+C27+C31+C35+C39++C47+C43+C55+472.53553</f>
        <v>34780.6954</v>
      </c>
      <c r="D59" s="40">
        <f>D15+D31+D39+D43+D55+1</f>
        <v>72.8</v>
      </c>
      <c r="E59" s="40">
        <f>E15+E31+E39+E43+E55+544.68</f>
        <v>36803.969999999994</v>
      </c>
      <c r="F59" s="24">
        <f t="shared" si="0"/>
        <v>1.0581723446507052</v>
      </c>
      <c r="G59" s="26"/>
    </row>
    <row r="60" spans="1:7" s="10" customFormat="1" ht="15" customHeight="1">
      <c r="A60" s="18" t="s">
        <v>78</v>
      </c>
      <c r="B60" s="39">
        <f>B16+B20+B24+B28+B32+B36+B40+B44+B48+B52+B56</f>
        <v>6</v>
      </c>
      <c r="C60" s="39">
        <f>C16+C20+C24+C28+C32+C36+C40+C44+C48+C52+C56</f>
        <v>2870.88573</v>
      </c>
      <c r="D60" s="39">
        <f>D40</f>
        <v>6</v>
      </c>
      <c r="E60" s="39">
        <f>E40</f>
        <v>2989.2</v>
      </c>
      <c r="F60" s="24">
        <f t="shared" si="0"/>
        <v>1.0412117656804125</v>
      </c>
      <c r="G60" s="26"/>
    </row>
    <row r="61" spans="1:7" s="10" customFormat="1" ht="15" customHeight="1">
      <c r="A61" s="209"/>
      <c r="B61" s="210"/>
      <c r="C61" s="210"/>
      <c r="D61" s="210"/>
      <c r="E61" s="210"/>
      <c r="F61" s="211"/>
      <c r="G61" s="14"/>
    </row>
    <row r="62" spans="1:4" s="10" customFormat="1" ht="12.75">
      <c r="A62" s="14" t="s">
        <v>2</v>
      </c>
      <c r="D62" s="10" t="s">
        <v>215</v>
      </c>
    </row>
    <row r="63" spans="1:2" s="10" customFormat="1" ht="12.75">
      <c r="A63" s="10" t="s">
        <v>216</v>
      </c>
      <c r="B63" s="14"/>
    </row>
    <row r="64" s="10" customFormat="1" ht="9" customHeight="1"/>
    <row r="65" s="10" customFormat="1" ht="12.75">
      <c r="A65" s="10" t="s">
        <v>125</v>
      </c>
    </row>
    <row r="66" s="10" customFormat="1" ht="12.75"/>
    <row r="67" s="10" customFormat="1" ht="12.75"/>
    <row r="68" s="10" customFormat="1" ht="12.75"/>
    <row r="69" s="10" customFormat="1" ht="12.75"/>
    <row r="70" s="10" customFormat="1" ht="12.75"/>
  </sheetData>
  <sheetProtection/>
  <mergeCells count="14">
    <mergeCell ref="F2:G2"/>
    <mergeCell ref="F8:F11"/>
    <mergeCell ref="F1:G1"/>
    <mergeCell ref="A4:G4"/>
    <mergeCell ref="A5:G5"/>
    <mergeCell ref="A6:G6"/>
    <mergeCell ref="G8:G11"/>
    <mergeCell ref="A8:A11"/>
    <mergeCell ref="D8:E8"/>
    <mergeCell ref="D9:D11"/>
    <mergeCell ref="E9:E11"/>
    <mergeCell ref="C9:C11"/>
    <mergeCell ref="B8:C8"/>
    <mergeCell ref="B9:B11"/>
  </mergeCells>
  <printOptions/>
  <pageMargins left="0.1968503937007874" right="0.1968503937007874" top="0.1968503937007874" bottom="0.1968503937007874" header="0.3937007874015748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A12" sqref="A12:IV12"/>
    </sheetView>
  </sheetViews>
  <sheetFormatPr defaultColWidth="8.875" defaultRowHeight="12.75"/>
  <cols>
    <col min="1" max="1" width="37.75390625" style="1" customWidth="1"/>
    <col min="2" max="2" width="10.875" style="1" customWidth="1"/>
    <col min="3" max="4" width="10.25390625" style="1" customWidth="1"/>
    <col min="5" max="5" width="12.00390625" style="1" customWidth="1"/>
    <col min="6" max="6" width="10.25390625" style="1" customWidth="1"/>
    <col min="7" max="7" width="10.875" style="1" customWidth="1"/>
    <col min="8" max="11" width="10.25390625" style="1" customWidth="1"/>
    <col min="12" max="12" width="14.75390625" style="1" customWidth="1"/>
    <col min="13" max="13" width="12.625" style="1" customWidth="1"/>
    <col min="14" max="16384" width="8.875" style="1" customWidth="1"/>
  </cols>
  <sheetData>
    <row r="1" spans="8:14" ht="21" customHeight="1">
      <c r="H1" s="7"/>
      <c r="L1" s="171" t="s">
        <v>130</v>
      </c>
      <c r="M1" s="170"/>
      <c r="N1" s="8"/>
    </row>
    <row r="2" spans="1:13" ht="18.75">
      <c r="A2" s="271" t="s">
        <v>100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23.25" customHeight="1">
      <c r="A3" s="284" t="s">
        <v>214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2:13" ht="17.25" customHeight="1">
      <c r="B4" s="139"/>
      <c r="C4" s="283" t="s">
        <v>6</v>
      </c>
      <c r="D4" s="283"/>
      <c r="E4" s="283"/>
      <c r="F4" s="283"/>
      <c r="G4" s="283"/>
      <c r="H4" s="283"/>
      <c r="I4" s="149"/>
      <c r="J4" s="149"/>
      <c r="K4" s="149"/>
      <c r="L4" s="139"/>
      <c r="M4" s="139"/>
    </row>
    <row r="5" spans="1:13" ht="17.25" customHeight="1">
      <c r="A5" s="276" t="s">
        <v>89</v>
      </c>
      <c r="B5" s="277" t="s">
        <v>182</v>
      </c>
      <c r="C5" s="287"/>
      <c r="D5" s="287"/>
      <c r="E5" s="287"/>
      <c r="F5" s="287"/>
      <c r="G5" s="277" t="s">
        <v>183</v>
      </c>
      <c r="H5" s="278"/>
      <c r="I5" s="287"/>
      <c r="J5" s="287"/>
      <c r="K5" s="287"/>
      <c r="L5" s="270" t="s">
        <v>184</v>
      </c>
      <c r="M5" s="270" t="s">
        <v>185</v>
      </c>
    </row>
    <row r="6" spans="1:13" ht="15" customHeight="1">
      <c r="A6" s="276"/>
      <c r="B6" s="273" t="s">
        <v>94</v>
      </c>
      <c r="C6" s="273" t="s">
        <v>99</v>
      </c>
      <c r="D6" s="277" t="s">
        <v>1</v>
      </c>
      <c r="E6" s="278"/>
      <c r="F6" s="279"/>
      <c r="G6" s="270" t="s">
        <v>95</v>
      </c>
      <c r="H6" s="273" t="s">
        <v>99</v>
      </c>
      <c r="I6" s="277" t="s">
        <v>1</v>
      </c>
      <c r="J6" s="278"/>
      <c r="K6" s="278"/>
      <c r="L6" s="272"/>
      <c r="M6" s="272"/>
    </row>
    <row r="7" spans="1:13" ht="15" customHeight="1">
      <c r="A7" s="276"/>
      <c r="B7" s="274"/>
      <c r="C7" s="274"/>
      <c r="D7" s="281" t="s">
        <v>101</v>
      </c>
      <c r="E7" s="270" t="s">
        <v>1</v>
      </c>
      <c r="F7" s="270"/>
      <c r="G7" s="270"/>
      <c r="H7" s="274"/>
      <c r="I7" s="281" t="s">
        <v>102</v>
      </c>
      <c r="J7" s="270" t="s">
        <v>1</v>
      </c>
      <c r="K7" s="270"/>
      <c r="L7" s="272"/>
      <c r="M7" s="272"/>
    </row>
    <row r="8" spans="1:19" ht="53.25" customHeight="1">
      <c r="A8" s="276"/>
      <c r="B8" s="288"/>
      <c r="C8" s="275"/>
      <c r="D8" s="282"/>
      <c r="E8" s="150" t="s">
        <v>9</v>
      </c>
      <c r="F8" s="150" t="s">
        <v>0</v>
      </c>
      <c r="G8" s="286"/>
      <c r="H8" s="275"/>
      <c r="I8" s="282"/>
      <c r="J8" s="150" t="s">
        <v>9</v>
      </c>
      <c r="K8" s="151" t="s">
        <v>0</v>
      </c>
      <c r="L8" s="272"/>
      <c r="M8" s="272"/>
      <c r="S8" s="154"/>
    </row>
    <row r="9" spans="1:13" s="153" customFormat="1" ht="11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</row>
    <row r="10" spans="1:19" ht="18" customHeight="1">
      <c r="A10" s="155" t="s">
        <v>98</v>
      </c>
      <c r="B10" s="152">
        <v>36.5</v>
      </c>
      <c r="C10" s="152">
        <v>30337.77998</v>
      </c>
      <c r="D10" s="152">
        <f>E10+F10</f>
        <v>24577.00998</v>
      </c>
      <c r="E10" s="152">
        <v>18884.17613</v>
      </c>
      <c r="F10" s="152">
        <v>5692.83385</v>
      </c>
      <c r="G10" s="152">
        <v>36.5</v>
      </c>
      <c r="H10" s="152">
        <v>33305.94</v>
      </c>
      <c r="I10" s="152">
        <f>J10+K10</f>
        <v>26239.29</v>
      </c>
      <c r="J10" s="247">
        <f>J11+J14</f>
        <v>20137.73</v>
      </c>
      <c r="K10" s="247">
        <f>K11+K14</f>
        <v>6101.56</v>
      </c>
      <c r="L10" s="152">
        <f>H10/C10</f>
        <v>1.0978370870233993</v>
      </c>
      <c r="M10" s="152">
        <f>I10/D10</f>
        <v>1.0676355676037368</v>
      </c>
      <c r="S10" s="154"/>
    </row>
    <row r="11" spans="1:13" ht="37.5" customHeight="1">
      <c r="A11" s="156" t="s">
        <v>90</v>
      </c>
      <c r="B11" s="42" t="s">
        <v>3</v>
      </c>
      <c r="C11" s="42" t="s">
        <v>3</v>
      </c>
      <c r="D11" s="152">
        <f>E11+F11</f>
        <v>19211.68881</v>
      </c>
      <c r="E11" s="42">
        <f>E12+E13</f>
        <v>14763.343130000001</v>
      </c>
      <c r="F11" s="42">
        <f>F12+F13</f>
        <v>4448.345679999999</v>
      </c>
      <c r="G11" s="42" t="s">
        <v>3</v>
      </c>
      <c r="H11" s="42" t="s">
        <v>3</v>
      </c>
      <c r="I11" s="152">
        <f>J11+K11</f>
        <v>20724.07</v>
      </c>
      <c r="J11" s="42">
        <f>J12+J13</f>
        <v>15901.77</v>
      </c>
      <c r="K11" s="42">
        <f>K12+K13</f>
        <v>4822.3</v>
      </c>
      <c r="L11" s="152" t="s">
        <v>3</v>
      </c>
      <c r="M11" s="152">
        <f>I11/D11</f>
        <v>1.0787219283508684</v>
      </c>
    </row>
    <row r="12" spans="1:13" ht="15.75" customHeight="1">
      <c r="A12" s="157" t="s">
        <v>91</v>
      </c>
      <c r="B12" s="160" t="s">
        <v>3</v>
      </c>
      <c r="C12" s="160" t="s">
        <v>3</v>
      </c>
      <c r="D12" s="161">
        <f>E12+F12</f>
        <v>1924.60805</v>
      </c>
      <c r="E12" s="162">
        <f>1341.49517+144.67</f>
        <v>1486.16517</v>
      </c>
      <c r="F12" s="162">
        <f>394.75288+43.69</f>
        <v>438.44288</v>
      </c>
      <c r="G12" s="160" t="s">
        <v>3</v>
      </c>
      <c r="H12" s="160" t="s">
        <v>3</v>
      </c>
      <c r="I12" s="161">
        <f>J12+K12</f>
        <v>2653.86</v>
      </c>
      <c r="J12" s="162">
        <v>2038.29</v>
      </c>
      <c r="K12" s="162">
        <v>615.57</v>
      </c>
      <c r="L12" s="161" t="s">
        <v>3</v>
      </c>
      <c r="M12" s="161">
        <f>I12/D12</f>
        <v>1.3789093316948353</v>
      </c>
    </row>
    <row r="13" spans="1:13" ht="15.75" customHeight="1">
      <c r="A13" s="157" t="s">
        <v>92</v>
      </c>
      <c r="B13" s="160" t="s">
        <v>3</v>
      </c>
      <c r="C13" s="160" t="s">
        <v>3</v>
      </c>
      <c r="D13" s="161">
        <f>E13+F13</f>
        <v>17287.08076</v>
      </c>
      <c r="E13" s="162">
        <v>13277.17796</v>
      </c>
      <c r="F13" s="162">
        <v>4009.9028</v>
      </c>
      <c r="G13" s="160" t="s">
        <v>3</v>
      </c>
      <c r="H13" s="160" t="s">
        <v>3</v>
      </c>
      <c r="I13" s="161">
        <f>J13+K13</f>
        <v>18070.21</v>
      </c>
      <c r="J13" s="162">
        <f>15901.77-J12</f>
        <v>13863.48</v>
      </c>
      <c r="K13" s="162">
        <f>4822.3-K12</f>
        <v>4206.7300000000005</v>
      </c>
      <c r="L13" s="161" t="s">
        <v>3</v>
      </c>
      <c r="M13" s="161">
        <f>I13/D13</f>
        <v>1.045301416177337</v>
      </c>
    </row>
    <row r="14" spans="1:13" ht="45.75" customHeight="1">
      <c r="A14" s="156" t="s">
        <v>93</v>
      </c>
      <c r="B14" s="42" t="s">
        <v>3</v>
      </c>
      <c r="C14" s="42" t="s">
        <v>3</v>
      </c>
      <c r="D14" s="152">
        <f>E14+F14</f>
        <v>5365.321169999999</v>
      </c>
      <c r="E14" s="41">
        <v>4120.833</v>
      </c>
      <c r="F14" s="41">
        <v>1244.48817</v>
      </c>
      <c r="G14" s="42" t="s">
        <v>3</v>
      </c>
      <c r="H14" s="42" t="s">
        <v>3</v>
      </c>
      <c r="I14" s="152">
        <f>J14+K14</f>
        <v>5515.22</v>
      </c>
      <c r="J14" s="41">
        <v>4235.96</v>
      </c>
      <c r="K14" s="41">
        <v>1279.26</v>
      </c>
      <c r="L14" s="152" t="s">
        <v>3</v>
      </c>
      <c r="M14" s="152">
        <f>I14/D14</f>
        <v>1.027938463560794</v>
      </c>
    </row>
    <row r="15" spans="1:12" ht="12.75">
      <c r="A15" s="11"/>
      <c r="B15" s="11"/>
      <c r="C15" s="12"/>
      <c r="D15" s="12"/>
      <c r="E15" s="12"/>
      <c r="F15" s="12"/>
      <c r="G15" s="11"/>
      <c r="H15" s="12"/>
      <c r="I15" s="12"/>
      <c r="J15" s="12"/>
      <c r="K15" s="12"/>
      <c r="L15" s="13"/>
    </row>
    <row r="16" spans="1:11" ht="15.75" customHeight="1">
      <c r="A16" s="9" t="s">
        <v>2</v>
      </c>
      <c r="B16" s="9"/>
      <c r="C16" s="158"/>
      <c r="D16" s="158"/>
      <c r="E16" s="248"/>
      <c r="G16" s="159"/>
      <c r="H16" s="285" t="s">
        <v>215</v>
      </c>
      <c r="I16" s="285"/>
      <c r="J16" s="285"/>
      <c r="K16" s="158"/>
    </row>
    <row r="17" spans="3:11" ht="12.75">
      <c r="C17" s="280" t="s">
        <v>96</v>
      </c>
      <c r="D17" s="280"/>
      <c r="E17" s="280"/>
      <c r="F17" s="15"/>
      <c r="G17" s="280" t="s">
        <v>97</v>
      </c>
      <c r="H17" s="280"/>
      <c r="I17" s="280"/>
      <c r="J17" s="280"/>
      <c r="K17" s="280"/>
    </row>
    <row r="18" spans="1:7" ht="12.75">
      <c r="A18" s="14" t="s">
        <v>217</v>
      </c>
      <c r="B18" s="14"/>
      <c r="E18" s="212"/>
      <c r="F18" s="212"/>
      <c r="G18" s="14"/>
    </row>
  </sheetData>
  <sheetProtection/>
  <mergeCells count="21">
    <mergeCell ref="B6:B8"/>
    <mergeCell ref="C17:E17"/>
    <mergeCell ref="G17:K17"/>
    <mergeCell ref="D7:D8"/>
    <mergeCell ref="E7:F7"/>
    <mergeCell ref="I7:I8"/>
    <mergeCell ref="C4:H4"/>
    <mergeCell ref="I6:K6"/>
    <mergeCell ref="J7:K7"/>
    <mergeCell ref="H16:J16"/>
    <mergeCell ref="G6:G8"/>
    <mergeCell ref="A2:M2"/>
    <mergeCell ref="M5:M8"/>
    <mergeCell ref="C6:C8"/>
    <mergeCell ref="A5:A8"/>
    <mergeCell ref="H6:H8"/>
    <mergeCell ref="D6:F6"/>
    <mergeCell ref="A3:M3"/>
    <mergeCell ref="L5:L8"/>
    <mergeCell ref="B5:F5"/>
    <mergeCell ref="G5:K5"/>
  </mergeCells>
  <printOptions/>
  <pageMargins left="0.39" right="0.25" top="0.4" bottom="0.32" header="0.37" footer="0.2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5" sqref="G5"/>
    </sheetView>
  </sheetViews>
  <sheetFormatPr defaultColWidth="9.00390625" defaultRowHeight="12.75"/>
  <cols>
    <col min="1" max="1" width="24.00390625" style="0" customWidth="1"/>
    <col min="2" max="2" width="10.25390625" style="0" customWidth="1"/>
    <col min="3" max="3" width="14.75390625" style="0" customWidth="1"/>
    <col min="4" max="4" width="10.25390625" style="0" customWidth="1"/>
    <col min="5" max="5" width="13.75390625" style="0" customWidth="1"/>
    <col min="6" max="6" width="12.75390625" style="0" customWidth="1"/>
    <col min="7" max="7" width="11.00390625" style="0" customWidth="1"/>
    <col min="8" max="8" width="14.25390625" style="0" customWidth="1"/>
    <col min="9" max="9" width="10.25390625" style="0" customWidth="1"/>
    <col min="10" max="10" width="14.75390625" style="0" customWidth="1"/>
    <col min="11" max="11" width="13.25390625" style="0" customWidth="1"/>
    <col min="12" max="12" width="11.25390625" style="0" customWidth="1"/>
    <col min="13" max="13" width="11.75390625" style="0" customWidth="1"/>
  </cols>
  <sheetData>
    <row r="1" spans="10:11" ht="20.25" customHeight="1">
      <c r="J1" s="171" t="s">
        <v>131</v>
      </c>
      <c r="K1" s="164"/>
    </row>
    <row r="2" spans="1:13" ht="18.75">
      <c r="A2" s="289" t="s">
        <v>186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7" t="s">
        <v>80</v>
      </c>
      <c r="L3" s="4"/>
      <c r="M3" s="4"/>
    </row>
    <row r="4" spans="1:13" ht="48.75" customHeight="1">
      <c r="A4" s="290" t="s">
        <v>11</v>
      </c>
      <c r="B4" s="291" t="s">
        <v>187</v>
      </c>
      <c r="C4" s="291"/>
      <c r="D4" s="291"/>
      <c r="E4" s="291"/>
      <c r="F4" s="291"/>
      <c r="G4" s="292" t="s">
        <v>188</v>
      </c>
      <c r="H4" s="292"/>
      <c r="I4" s="292"/>
      <c r="J4" s="292"/>
      <c r="K4" s="292"/>
      <c r="L4" s="29"/>
      <c r="M4" s="29"/>
    </row>
    <row r="5" spans="1:13" ht="72.75" customHeight="1">
      <c r="A5" s="290"/>
      <c r="B5" s="28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4"/>
      <c r="M5" s="4"/>
    </row>
    <row r="6" spans="1:13" ht="15.75">
      <c r="A6" s="30"/>
      <c r="B6" s="31"/>
      <c r="C6" s="31"/>
      <c r="D6" s="31"/>
      <c r="E6" s="31"/>
      <c r="F6" s="31"/>
      <c r="G6" s="31"/>
      <c r="H6" s="32"/>
      <c r="I6" s="31"/>
      <c r="J6" s="32"/>
      <c r="K6" s="32"/>
      <c r="L6" s="4"/>
      <c r="M6" s="4"/>
    </row>
    <row r="7" spans="1:13" ht="15.75">
      <c r="A7" s="30"/>
      <c r="B7" s="31"/>
      <c r="C7" s="31"/>
      <c r="D7" s="31"/>
      <c r="E7" s="31"/>
      <c r="F7" s="31"/>
      <c r="G7" s="31"/>
      <c r="H7" s="32"/>
      <c r="I7" s="31"/>
      <c r="J7" s="32"/>
      <c r="K7" s="32"/>
      <c r="L7" s="4"/>
      <c r="M7" s="4"/>
    </row>
    <row r="8" spans="1:13" ht="15.75">
      <c r="A8" s="30"/>
      <c r="B8" s="31"/>
      <c r="C8" s="31"/>
      <c r="D8" s="31"/>
      <c r="E8" s="31"/>
      <c r="F8" s="31"/>
      <c r="G8" s="31"/>
      <c r="H8" s="32"/>
      <c r="I8" s="31"/>
      <c r="J8" s="32"/>
      <c r="K8" s="32"/>
      <c r="L8" s="4"/>
      <c r="M8" s="4"/>
    </row>
    <row r="9" spans="1:13" ht="15.75">
      <c r="A9" s="30"/>
      <c r="B9" s="31"/>
      <c r="C9" s="31"/>
      <c r="D9" s="31"/>
      <c r="E9" s="31"/>
      <c r="F9" s="31"/>
      <c r="G9" s="31"/>
      <c r="H9" s="32"/>
      <c r="I9" s="31"/>
      <c r="J9" s="32"/>
      <c r="K9" s="32"/>
      <c r="L9" s="4"/>
      <c r="M9" s="4"/>
    </row>
    <row r="10" spans="1:13" ht="15.75">
      <c r="A10" s="30"/>
      <c r="B10" s="31"/>
      <c r="C10" s="31"/>
      <c r="D10" s="31"/>
      <c r="E10" s="31"/>
      <c r="F10" s="31"/>
      <c r="G10" s="31"/>
      <c r="H10" s="32"/>
      <c r="I10" s="31"/>
      <c r="J10" s="32"/>
      <c r="K10" s="32"/>
      <c r="L10" s="4"/>
      <c r="M10" s="4"/>
    </row>
    <row r="11" spans="1:13" ht="15.75">
      <c r="A11" s="33"/>
      <c r="B11" s="31"/>
      <c r="C11" s="31"/>
      <c r="D11" s="31"/>
      <c r="E11" s="31"/>
      <c r="F11" s="31"/>
      <c r="G11" s="31"/>
      <c r="H11" s="32"/>
      <c r="I11" s="31"/>
      <c r="J11" s="32"/>
      <c r="K11" s="32"/>
      <c r="L11" s="4"/>
      <c r="M11" s="4"/>
    </row>
    <row r="12" spans="1:13" ht="15.75">
      <c r="A12" s="30"/>
      <c r="B12" s="31"/>
      <c r="C12" s="31"/>
      <c r="D12" s="31"/>
      <c r="E12" s="31"/>
      <c r="F12" s="31"/>
      <c r="G12" s="31"/>
      <c r="H12" s="32"/>
      <c r="I12" s="31"/>
      <c r="J12" s="32"/>
      <c r="K12" s="32"/>
      <c r="L12" s="4"/>
      <c r="M12" s="4"/>
    </row>
    <row r="13" spans="1:13" ht="15.75">
      <c r="A13" s="32"/>
      <c r="B13" s="31"/>
      <c r="C13" s="31"/>
      <c r="D13" s="31"/>
      <c r="E13" s="31"/>
      <c r="F13" s="31"/>
      <c r="G13" s="31"/>
      <c r="H13" s="32"/>
      <c r="I13" s="31"/>
      <c r="J13" s="32"/>
      <c r="K13" s="32"/>
      <c r="L13" s="4"/>
      <c r="M13" s="4"/>
    </row>
    <row r="14" spans="1:13" ht="15.75">
      <c r="A14" s="32"/>
      <c r="B14" s="31"/>
      <c r="C14" s="31"/>
      <c r="D14" s="31"/>
      <c r="E14" s="31"/>
      <c r="F14" s="31"/>
      <c r="G14" s="31"/>
      <c r="H14" s="32"/>
      <c r="I14" s="31"/>
      <c r="J14" s="32"/>
      <c r="K14" s="32"/>
      <c r="L14" s="4"/>
      <c r="M14" s="4"/>
    </row>
    <row r="15" spans="1:13" ht="15.75">
      <c r="A15" s="32"/>
      <c r="B15" s="31"/>
      <c r="C15" s="31"/>
      <c r="D15" s="31"/>
      <c r="E15" s="31"/>
      <c r="F15" s="31"/>
      <c r="G15" s="31"/>
      <c r="H15" s="32"/>
      <c r="I15" s="31"/>
      <c r="J15" s="32"/>
      <c r="K15" s="32"/>
      <c r="L15" s="4"/>
      <c r="M15" s="4"/>
    </row>
    <row r="16" spans="1:13" ht="15.75">
      <c r="A16" s="34" t="s">
        <v>17</v>
      </c>
      <c r="B16" s="35"/>
      <c r="C16" s="35"/>
      <c r="D16" s="35"/>
      <c r="E16" s="31"/>
      <c r="F16" s="31"/>
      <c r="G16" s="35"/>
      <c r="H16" s="35"/>
      <c r="I16" s="35"/>
      <c r="J16" s="34"/>
      <c r="K16" s="3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6" t="s">
        <v>2</v>
      </c>
      <c r="B19" s="4"/>
      <c r="C19" s="4"/>
      <c r="D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>
      <c r="A22" s="36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2.75">
      <c r="A24" s="37"/>
    </row>
  </sheetData>
  <sheetProtection/>
  <mergeCells count="4">
    <mergeCell ref="A2:M2"/>
    <mergeCell ref="A4:A5"/>
    <mergeCell ref="B4:F4"/>
    <mergeCell ref="G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6" sqref="J16"/>
    </sheetView>
  </sheetViews>
  <sheetFormatPr defaultColWidth="9.00390625" defaultRowHeight="12.75"/>
  <cols>
    <col min="1" max="1" width="48.00390625" style="0" customWidth="1"/>
    <col min="2" max="2" width="10.25390625" style="0" customWidth="1"/>
    <col min="3" max="3" width="10.875" style="0" customWidth="1"/>
    <col min="4" max="7" width="11.125" style="0" customWidth="1"/>
    <col min="8" max="8" width="10.125" style="0" customWidth="1"/>
    <col min="10" max="10" width="11.75390625" style="0" customWidth="1"/>
  </cols>
  <sheetData>
    <row r="1" spans="8:10" ht="19.5" customHeight="1">
      <c r="H1" s="171" t="s">
        <v>132</v>
      </c>
      <c r="I1" s="164"/>
      <c r="J1" s="164"/>
    </row>
    <row r="2" spans="1:10" ht="36.75" customHeight="1">
      <c r="A2" s="293" t="s">
        <v>127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5.75">
      <c r="A3" s="296" t="s">
        <v>211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5" customHeight="1">
      <c r="A4" s="297" t="s">
        <v>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5.75">
      <c r="A5" s="141"/>
      <c r="B5" s="141"/>
      <c r="C5" s="141"/>
      <c r="D5" s="141"/>
      <c r="E5" s="141"/>
      <c r="F5" s="141"/>
      <c r="G5" s="141"/>
      <c r="H5" s="141"/>
      <c r="I5" s="141" t="s">
        <v>80</v>
      </c>
      <c r="J5" s="141"/>
    </row>
    <row r="6" spans="1:10" ht="30.75" customHeight="1">
      <c r="A6" s="294" t="s">
        <v>81</v>
      </c>
      <c r="B6" s="294" t="s">
        <v>189</v>
      </c>
      <c r="C6" s="294"/>
      <c r="D6" s="294"/>
      <c r="E6" s="294" t="s">
        <v>190</v>
      </c>
      <c r="F6" s="294"/>
      <c r="G6" s="294"/>
      <c r="H6" s="295" t="s">
        <v>191</v>
      </c>
      <c r="I6" s="295"/>
      <c r="J6" s="295"/>
    </row>
    <row r="7" spans="1:10" ht="15.75">
      <c r="A7" s="294"/>
      <c r="B7" s="174" t="s">
        <v>82</v>
      </c>
      <c r="C7" s="174" t="s">
        <v>83</v>
      </c>
      <c r="D7" s="174" t="s">
        <v>84</v>
      </c>
      <c r="E7" s="142" t="s">
        <v>82</v>
      </c>
      <c r="F7" s="142" t="s">
        <v>83</v>
      </c>
      <c r="G7" s="142" t="s">
        <v>84</v>
      </c>
      <c r="H7" s="142" t="s">
        <v>82</v>
      </c>
      <c r="I7" s="142" t="s">
        <v>83</v>
      </c>
      <c r="J7" s="142" t="s">
        <v>84</v>
      </c>
    </row>
    <row r="8" spans="1:10" s="1" customFormat="1" ht="37.5" customHeight="1">
      <c r="A8" s="165" t="s">
        <v>105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0" s="1" customFormat="1" ht="31.5">
      <c r="A9" s="206" t="s">
        <v>256</v>
      </c>
      <c r="B9" s="166">
        <v>0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245">
        <v>9400</v>
      </c>
    </row>
    <row r="10" spans="1:10" s="1" customFormat="1" ht="31.5">
      <c r="A10" s="206" t="s">
        <v>257</v>
      </c>
      <c r="B10" s="166">
        <v>0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246">
        <v>4992.89</v>
      </c>
    </row>
    <row r="11" spans="1:10" s="1" customFormat="1" ht="31.5">
      <c r="A11" s="206" t="s">
        <v>258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245">
        <v>20000</v>
      </c>
    </row>
    <row r="12" spans="1:10" s="1" customFormat="1" ht="15.75">
      <c r="A12" s="166" t="s">
        <v>106</v>
      </c>
      <c r="B12" s="166">
        <f>B9+B10+B11</f>
        <v>0</v>
      </c>
      <c r="C12" s="166">
        <f aca="true" t="shared" si="0" ref="C12:J12">C9+C10+C11</f>
        <v>0</v>
      </c>
      <c r="D12" s="166">
        <f t="shared" si="0"/>
        <v>0</v>
      </c>
      <c r="E12" s="166">
        <f t="shared" si="0"/>
        <v>0</v>
      </c>
      <c r="F12" s="166">
        <f t="shared" si="0"/>
        <v>0</v>
      </c>
      <c r="G12" s="166">
        <f t="shared" si="0"/>
        <v>0</v>
      </c>
      <c r="H12" s="166">
        <f t="shared" si="0"/>
        <v>0</v>
      </c>
      <c r="I12" s="166">
        <f t="shared" si="0"/>
        <v>0</v>
      </c>
      <c r="J12" s="166">
        <f t="shared" si="0"/>
        <v>34392.89</v>
      </c>
    </row>
    <row r="13" spans="1:10" s="1" customFormat="1" ht="53.25" customHeight="1">
      <c r="A13" s="165" t="s">
        <v>122</v>
      </c>
      <c r="B13" s="166"/>
      <c r="C13" s="166"/>
      <c r="D13" s="166"/>
      <c r="E13" s="166"/>
      <c r="F13" s="166"/>
      <c r="G13" s="166"/>
      <c r="H13" s="166"/>
      <c r="I13" s="166"/>
      <c r="J13" s="166"/>
    </row>
    <row r="14" spans="1:10" s="1" customFormat="1" ht="31.5">
      <c r="A14" s="206" t="s">
        <v>206</v>
      </c>
      <c r="B14" s="166">
        <v>0</v>
      </c>
      <c r="C14" s="166">
        <v>297.16667</v>
      </c>
      <c r="D14" s="166">
        <v>0</v>
      </c>
      <c r="E14" s="166">
        <v>0</v>
      </c>
      <c r="F14" s="166">
        <v>297.891</v>
      </c>
      <c r="G14" s="166">
        <v>0</v>
      </c>
      <c r="H14" s="166"/>
      <c r="I14" s="166">
        <v>297.891</v>
      </c>
      <c r="J14" s="166">
        <v>0</v>
      </c>
    </row>
    <row r="15" spans="1:10" s="1" customFormat="1" ht="15.75" hidden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0" s="1" customFormat="1" ht="15.75">
      <c r="A16" s="166" t="s">
        <v>106</v>
      </c>
      <c r="B16" s="166">
        <f>B14</f>
        <v>0</v>
      </c>
      <c r="C16" s="166">
        <f aca="true" t="shared" si="1" ref="C16:J16">C14</f>
        <v>297.16667</v>
      </c>
      <c r="D16" s="166">
        <f t="shared" si="1"/>
        <v>0</v>
      </c>
      <c r="E16" s="166">
        <f t="shared" si="1"/>
        <v>0</v>
      </c>
      <c r="F16" s="166">
        <f t="shared" si="1"/>
        <v>297.891</v>
      </c>
      <c r="G16" s="166">
        <f t="shared" si="1"/>
        <v>0</v>
      </c>
      <c r="H16" s="166">
        <f t="shared" si="1"/>
        <v>0</v>
      </c>
      <c r="I16" s="166">
        <f t="shared" si="1"/>
        <v>297.891</v>
      </c>
      <c r="J16" s="166">
        <f t="shared" si="1"/>
        <v>0</v>
      </c>
    </row>
    <row r="17" spans="1:10" s="1" customFormat="1" ht="15.75">
      <c r="A17" s="166" t="s">
        <v>107</v>
      </c>
      <c r="B17" s="166">
        <f>B12+B16</f>
        <v>0</v>
      </c>
      <c r="C17" s="166">
        <f aca="true" t="shared" si="2" ref="C17:J17">C12+C16</f>
        <v>297.16667</v>
      </c>
      <c r="D17" s="166">
        <f t="shared" si="2"/>
        <v>0</v>
      </c>
      <c r="E17" s="166">
        <f t="shared" si="2"/>
        <v>0</v>
      </c>
      <c r="F17" s="166">
        <f t="shared" si="2"/>
        <v>297.891</v>
      </c>
      <c r="G17" s="166">
        <f t="shared" si="2"/>
        <v>0</v>
      </c>
      <c r="H17" s="166">
        <f t="shared" si="2"/>
        <v>0</v>
      </c>
      <c r="I17" s="166">
        <f t="shared" si="2"/>
        <v>297.891</v>
      </c>
      <c r="J17" s="166">
        <f t="shared" si="2"/>
        <v>34392.89</v>
      </c>
    </row>
  </sheetData>
  <sheetProtection/>
  <mergeCells count="7">
    <mergeCell ref="A2:J2"/>
    <mergeCell ref="A6:A7"/>
    <mergeCell ref="B6:D6"/>
    <mergeCell ref="E6:G6"/>
    <mergeCell ref="H6:J6"/>
    <mergeCell ref="A3:J3"/>
    <mergeCell ref="A4:J4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D24" sqref="D24"/>
    </sheetView>
  </sheetViews>
  <sheetFormatPr defaultColWidth="14.75390625" defaultRowHeight="12.75"/>
  <cols>
    <col min="1" max="1" width="8.25390625" style="0" customWidth="1"/>
    <col min="2" max="2" width="44.75390625" style="0" customWidth="1"/>
    <col min="3" max="5" width="13.25390625" style="0" customWidth="1"/>
    <col min="6" max="7" width="14.375" style="0" customWidth="1"/>
    <col min="8" max="8" width="13.25390625" style="0" customWidth="1"/>
    <col min="9" max="9" width="11.25390625" style="0" customWidth="1"/>
    <col min="10" max="10" width="11.75390625" style="0" customWidth="1"/>
    <col min="11" max="253" width="8.875" style="0" customWidth="1"/>
    <col min="254" max="254" width="30.75390625" style="0" customWidth="1"/>
    <col min="255" max="255" width="10.25390625" style="0" customWidth="1"/>
  </cols>
  <sheetData>
    <row r="1" ht="24" customHeight="1">
      <c r="H1" s="171" t="s">
        <v>133</v>
      </c>
    </row>
    <row r="2" spans="1:10" ht="18.75">
      <c r="A2" s="289" t="s">
        <v>85</v>
      </c>
      <c r="B2" s="289"/>
      <c r="C2" s="289"/>
      <c r="D2" s="289"/>
      <c r="E2" s="289"/>
      <c r="F2" s="289"/>
      <c r="G2" s="289"/>
      <c r="H2" s="289"/>
      <c r="I2" s="143"/>
      <c r="J2" s="143"/>
    </row>
    <row r="3" spans="1:10" ht="22.5" customHeight="1">
      <c r="A3" s="301" t="s">
        <v>210</v>
      </c>
      <c r="B3" s="302"/>
      <c r="C3" s="302"/>
      <c r="D3" s="302"/>
      <c r="E3" s="302"/>
      <c r="F3" s="302"/>
      <c r="G3" s="302"/>
      <c r="H3" s="302"/>
      <c r="I3" s="143"/>
      <c r="J3" s="143"/>
    </row>
    <row r="4" spans="1:10" ht="12" customHeight="1">
      <c r="A4" s="303" t="s">
        <v>86</v>
      </c>
      <c r="B4" s="303"/>
      <c r="C4" s="303"/>
      <c r="D4" s="303"/>
      <c r="E4" s="303"/>
      <c r="F4" s="303"/>
      <c r="G4" s="303"/>
      <c r="H4" s="303"/>
      <c r="I4" s="143"/>
      <c r="J4" s="143"/>
    </row>
    <row r="5" spans="2:10" ht="23.25" customHeight="1">
      <c r="B5" s="4"/>
      <c r="C5" s="4"/>
      <c r="D5" s="4"/>
      <c r="E5" s="4"/>
      <c r="F5" s="4"/>
      <c r="G5" s="4"/>
      <c r="H5" s="19" t="s">
        <v>10</v>
      </c>
      <c r="I5" s="4"/>
      <c r="J5" s="4"/>
    </row>
    <row r="6" spans="1:10" s="145" customFormat="1" ht="38.25" customHeight="1">
      <c r="A6" s="304" t="s">
        <v>87</v>
      </c>
      <c r="B6" s="304" t="s">
        <v>88</v>
      </c>
      <c r="C6" s="257" t="s">
        <v>192</v>
      </c>
      <c r="D6" s="258"/>
      <c r="E6" s="298"/>
      <c r="F6" s="257" t="s">
        <v>193</v>
      </c>
      <c r="G6" s="258"/>
      <c r="H6" s="298"/>
      <c r="I6" s="144"/>
      <c r="J6" s="144"/>
    </row>
    <row r="7" spans="1:10" s="147" customFormat="1" ht="15.75">
      <c r="A7" s="305"/>
      <c r="B7" s="305"/>
      <c r="C7" s="146" t="s">
        <v>82</v>
      </c>
      <c r="D7" s="146" t="s">
        <v>83</v>
      </c>
      <c r="E7" s="146" t="s">
        <v>84</v>
      </c>
      <c r="F7" s="146" t="s">
        <v>82</v>
      </c>
      <c r="G7" s="146" t="s">
        <v>83</v>
      </c>
      <c r="H7" s="146" t="s">
        <v>84</v>
      </c>
      <c r="I7" s="144"/>
      <c r="J7" s="144"/>
    </row>
    <row r="8" spans="1:10" ht="63">
      <c r="A8" s="207" t="s">
        <v>207</v>
      </c>
      <c r="B8" s="208" t="s">
        <v>255</v>
      </c>
      <c r="C8" s="31">
        <v>0</v>
      </c>
      <c r="D8" s="243">
        <f>475+75.08649</f>
        <v>550.08649</v>
      </c>
      <c r="E8" s="243">
        <f>25+50</f>
        <v>75</v>
      </c>
      <c r="F8" s="31">
        <v>0</v>
      </c>
      <c r="G8" s="31">
        <v>475</v>
      </c>
      <c r="H8" s="31">
        <v>25</v>
      </c>
      <c r="I8" s="4"/>
      <c r="J8" s="4"/>
    </row>
    <row r="9" spans="1:10" ht="110.25">
      <c r="A9" s="207" t="s">
        <v>208</v>
      </c>
      <c r="B9" s="208" t="s">
        <v>209</v>
      </c>
      <c r="C9" s="31">
        <v>0</v>
      </c>
      <c r="D9" s="31">
        <v>0</v>
      </c>
      <c r="E9" s="31">
        <v>1489.94332</v>
      </c>
      <c r="F9" s="31">
        <v>0</v>
      </c>
      <c r="G9" s="31">
        <v>0</v>
      </c>
      <c r="H9" s="31">
        <v>0</v>
      </c>
      <c r="I9" s="4"/>
      <c r="J9" s="4"/>
    </row>
    <row r="10" spans="1:10" ht="15.75" hidden="1">
      <c r="A10" s="148"/>
      <c r="B10" s="30"/>
      <c r="C10" s="31"/>
      <c r="D10" s="31"/>
      <c r="E10" s="31"/>
      <c r="F10" s="31"/>
      <c r="G10" s="31"/>
      <c r="H10" s="31"/>
      <c r="I10" s="4"/>
      <c r="J10" s="4"/>
    </row>
    <row r="11" spans="1:10" ht="15.75" hidden="1">
      <c r="A11" s="148"/>
      <c r="B11" s="30"/>
      <c r="C11" s="31"/>
      <c r="D11" s="31"/>
      <c r="E11" s="31"/>
      <c r="F11" s="31"/>
      <c r="G11" s="31"/>
      <c r="H11" s="31"/>
      <c r="I11" s="4"/>
      <c r="J11" s="4"/>
    </row>
    <row r="12" spans="1:10" ht="15.75" hidden="1">
      <c r="A12" s="148"/>
      <c r="B12" s="33"/>
      <c r="C12" s="31"/>
      <c r="D12" s="31"/>
      <c r="E12" s="31"/>
      <c r="F12" s="31"/>
      <c r="G12" s="31"/>
      <c r="H12" s="31"/>
      <c r="I12" s="4"/>
      <c r="J12" s="4"/>
    </row>
    <row r="13" spans="1:10" ht="15.75" hidden="1">
      <c r="A13" s="148"/>
      <c r="B13" s="30"/>
      <c r="C13" s="31"/>
      <c r="D13" s="31"/>
      <c r="E13" s="31"/>
      <c r="F13" s="31"/>
      <c r="G13" s="31"/>
      <c r="H13" s="31"/>
      <c r="I13" s="4"/>
      <c r="J13" s="4"/>
    </row>
    <row r="14" spans="1:10" ht="15.75" hidden="1">
      <c r="A14" s="148"/>
      <c r="B14" s="32"/>
      <c r="C14" s="31"/>
      <c r="D14" s="31"/>
      <c r="E14" s="31"/>
      <c r="F14" s="31"/>
      <c r="G14" s="31"/>
      <c r="H14" s="31"/>
      <c r="I14" s="4"/>
      <c r="J14" s="4"/>
    </row>
    <row r="15" spans="1:10" ht="15.75" hidden="1">
      <c r="A15" s="148"/>
      <c r="B15" s="32"/>
      <c r="C15" s="31"/>
      <c r="D15" s="31"/>
      <c r="E15" s="31"/>
      <c r="F15" s="31"/>
      <c r="G15" s="31"/>
      <c r="H15" s="31"/>
      <c r="I15" s="4"/>
      <c r="J15" s="4"/>
    </row>
    <row r="16" spans="1:10" ht="15.75" hidden="1">
      <c r="A16" s="148"/>
      <c r="B16" s="32"/>
      <c r="C16" s="31"/>
      <c r="D16" s="31"/>
      <c r="E16" s="31"/>
      <c r="F16" s="31"/>
      <c r="G16" s="31"/>
      <c r="H16" s="31"/>
      <c r="I16" s="4"/>
      <c r="J16" s="4"/>
    </row>
    <row r="17" spans="1:10" s="147" customFormat="1" ht="15.75">
      <c r="A17" s="299" t="s">
        <v>17</v>
      </c>
      <c r="B17" s="300"/>
      <c r="C17" s="35">
        <f aca="true" t="shared" si="0" ref="C17:H17">C8+C9</f>
        <v>0</v>
      </c>
      <c r="D17" s="35">
        <f t="shared" si="0"/>
        <v>550.08649</v>
      </c>
      <c r="E17" s="35">
        <f t="shared" si="0"/>
        <v>1564.94332</v>
      </c>
      <c r="F17" s="35">
        <f t="shared" si="0"/>
        <v>0</v>
      </c>
      <c r="G17" s="35">
        <f t="shared" si="0"/>
        <v>475</v>
      </c>
      <c r="H17" s="35">
        <f t="shared" si="0"/>
        <v>25</v>
      </c>
      <c r="I17" s="144"/>
      <c r="J17" s="144"/>
    </row>
    <row r="18" spans="2:10" ht="12.75">
      <c r="B18" s="4"/>
      <c r="C18" s="244"/>
      <c r="D18" s="4"/>
      <c r="E18" s="4"/>
      <c r="F18" s="4"/>
      <c r="G18" s="4"/>
      <c r="H18" s="4"/>
      <c r="I18" s="4"/>
      <c r="J18" s="4"/>
    </row>
    <row r="19" spans="2:10" ht="12.75">
      <c r="B19" s="4"/>
      <c r="C19" s="4"/>
      <c r="D19" s="4"/>
      <c r="E19" s="4"/>
      <c r="F19" s="4"/>
      <c r="G19" s="4"/>
      <c r="H19" s="4"/>
      <c r="I19" s="4"/>
      <c r="J19" s="4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ht="12.75">
      <c r="B21" s="37"/>
    </row>
  </sheetData>
  <sheetProtection/>
  <mergeCells count="8">
    <mergeCell ref="F6:H6"/>
    <mergeCell ref="A17:B17"/>
    <mergeCell ref="A2:H2"/>
    <mergeCell ref="A3:H3"/>
    <mergeCell ref="A4:H4"/>
    <mergeCell ref="A6:A7"/>
    <mergeCell ref="B6:B7"/>
    <mergeCell ref="C6:E6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1"/>
  <sheetViews>
    <sheetView tabSelected="1" zoomScale="95" zoomScaleNormal="9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" sqref="H8"/>
    </sheetView>
  </sheetViews>
  <sheetFormatPr defaultColWidth="9.00390625" defaultRowHeight="12.75"/>
  <cols>
    <col min="1" max="1" width="55.75390625" style="0" customWidth="1"/>
    <col min="2" max="2" width="14.75390625" style="0" customWidth="1"/>
    <col min="3" max="3" width="12.125" style="0" customWidth="1"/>
    <col min="4" max="4" width="16.25390625" style="0" hidden="1" customWidth="1"/>
    <col min="5" max="5" width="14.875" style="0" customWidth="1"/>
    <col min="6" max="6" width="12.375" style="0" hidden="1" customWidth="1"/>
    <col min="7" max="8" width="12.375" style="0" customWidth="1"/>
    <col min="9" max="9" width="12.875" style="0" customWidth="1"/>
    <col min="10" max="10" width="10.375" style="0" hidden="1" customWidth="1"/>
    <col min="11" max="11" width="12.625" style="0" customWidth="1"/>
    <col min="12" max="12" width="11.00390625" style="0" hidden="1" customWidth="1"/>
    <col min="13" max="13" width="11.00390625" style="0" customWidth="1"/>
    <col min="14" max="14" width="13.625" style="0" hidden="1" customWidth="1"/>
    <col min="15" max="16" width="0" style="0" hidden="1" customWidth="1"/>
    <col min="17" max="17" width="12.125" style="0" bestFit="1" customWidth="1"/>
  </cols>
  <sheetData>
    <row r="1" spans="11:13" ht="18.75" customHeight="1">
      <c r="K1" s="171" t="s">
        <v>134</v>
      </c>
      <c r="L1" s="164"/>
      <c r="M1" s="164"/>
    </row>
    <row r="2" spans="1:13" s="4" customFormat="1" ht="72" customHeight="1">
      <c r="A2" s="306" t="s">
        <v>212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6.5" customHeight="1">
      <c r="A3" s="140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44.25" customHeight="1">
      <c r="A4" s="307" t="s">
        <v>5</v>
      </c>
      <c r="B4" s="307" t="s">
        <v>141</v>
      </c>
      <c r="C4" s="308" t="s">
        <v>194</v>
      </c>
      <c r="D4" s="310" t="s">
        <v>199</v>
      </c>
      <c r="E4" s="309" t="s">
        <v>259</v>
      </c>
      <c r="F4" s="312" t="s">
        <v>195</v>
      </c>
      <c r="G4" s="313"/>
      <c r="H4" s="320" t="s">
        <v>260</v>
      </c>
      <c r="I4" s="309" t="s">
        <v>196</v>
      </c>
      <c r="J4" s="312" t="s">
        <v>197</v>
      </c>
      <c r="K4" s="313"/>
      <c r="L4" s="316" t="s">
        <v>198</v>
      </c>
      <c r="M4" s="317"/>
    </row>
    <row r="5" spans="1:13" ht="37.5" customHeight="1">
      <c r="A5" s="307"/>
      <c r="B5" s="307"/>
      <c r="C5" s="308"/>
      <c r="D5" s="311"/>
      <c r="E5" s="309"/>
      <c r="F5" s="314"/>
      <c r="G5" s="315"/>
      <c r="H5" s="321"/>
      <c r="I5" s="309"/>
      <c r="J5" s="314"/>
      <c r="K5" s="315"/>
      <c r="L5" s="318"/>
      <c r="M5" s="319"/>
    </row>
    <row r="6" spans="1:13" ht="16.5" customHeight="1">
      <c r="A6" s="46">
        <v>1</v>
      </c>
      <c r="B6" s="46">
        <v>2</v>
      </c>
      <c r="C6" s="47">
        <v>3</v>
      </c>
      <c r="D6" s="50">
        <v>4</v>
      </c>
      <c r="E6" s="48">
        <v>4</v>
      </c>
      <c r="F6" s="49">
        <v>6</v>
      </c>
      <c r="G6" s="49">
        <v>5</v>
      </c>
      <c r="H6" s="50" t="s">
        <v>261</v>
      </c>
      <c r="I6" s="48">
        <v>7</v>
      </c>
      <c r="J6" s="49">
        <v>11</v>
      </c>
      <c r="K6" s="49">
        <v>8</v>
      </c>
      <c r="L6" s="51">
        <v>13</v>
      </c>
      <c r="M6" s="51">
        <v>9</v>
      </c>
    </row>
    <row r="7" spans="1:64" s="57" customFormat="1" ht="36" customHeight="1">
      <c r="A7" s="52" t="s">
        <v>76</v>
      </c>
      <c r="B7" s="53">
        <f>B8+B31</f>
        <v>99329.85690000001</v>
      </c>
      <c r="C7" s="53">
        <f>C8+C31</f>
        <v>99315.2</v>
      </c>
      <c r="D7" s="54" t="s">
        <v>3</v>
      </c>
      <c r="E7" s="53">
        <f>E8+E31</f>
        <v>113958.06743999998</v>
      </c>
      <c r="F7" s="53">
        <f>F8+F31</f>
        <v>0</v>
      </c>
      <c r="G7" s="53">
        <f>G8+G31</f>
        <v>113408.52743999999</v>
      </c>
      <c r="H7" s="53">
        <f>G7-E7</f>
        <v>-549.5399999999936</v>
      </c>
      <c r="I7" s="55">
        <f>G7/B7</f>
        <v>1.1417365430635185</v>
      </c>
      <c r="J7" s="53">
        <f>J8+J31</f>
        <v>0</v>
      </c>
      <c r="K7" s="53">
        <f>K8+K31</f>
        <v>70932.06</v>
      </c>
      <c r="L7" s="56" t="e">
        <f>J7/F7</f>
        <v>#DIV/0!</v>
      </c>
      <c r="M7" s="56">
        <f>K7/G7</f>
        <v>0.6254561416250412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13" ht="30.75" customHeight="1">
      <c r="A8" s="58" t="s">
        <v>19</v>
      </c>
      <c r="B8" s="59">
        <f>B10+B17</f>
        <v>28835.1</v>
      </c>
      <c r="C8" s="59">
        <f>C10+C17</f>
        <v>27879.7</v>
      </c>
      <c r="D8" s="60" t="s">
        <v>3</v>
      </c>
      <c r="E8" s="59">
        <f>E10+E17</f>
        <v>27879.7</v>
      </c>
      <c r="F8" s="59">
        <f>F10+F17</f>
        <v>0</v>
      </c>
      <c r="G8" s="59">
        <f>G10+G17</f>
        <v>27330.16</v>
      </c>
      <c r="H8" s="61">
        <f aca="true" t="shared" si="0" ref="H8:H29">G8-E8</f>
        <v>-549.5400000000009</v>
      </c>
      <c r="I8" s="62">
        <f>G8/B8</f>
        <v>0.9478087469785089</v>
      </c>
      <c r="J8" s="59">
        <f>J10+J17</f>
        <v>0</v>
      </c>
      <c r="K8" s="59">
        <f>K10+K17</f>
        <v>28234.66</v>
      </c>
      <c r="L8" s="63" t="e">
        <f>J8/F8</f>
        <v>#DIV/0!</v>
      </c>
      <c r="M8" s="63">
        <f>K8/G8</f>
        <v>1.0330953056989056</v>
      </c>
    </row>
    <row r="9" spans="1:13" ht="15">
      <c r="A9" s="64" t="s">
        <v>49</v>
      </c>
      <c r="B9" s="65"/>
      <c r="C9" s="66"/>
      <c r="D9" s="67"/>
      <c r="E9" s="66"/>
      <c r="F9" s="66"/>
      <c r="G9" s="66"/>
      <c r="H9" s="68"/>
      <c r="I9" s="69"/>
      <c r="J9" s="66"/>
      <c r="K9" s="66"/>
      <c r="L9" s="69"/>
      <c r="M9" s="69"/>
    </row>
    <row r="10" spans="1:13" ht="18" customHeight="1">
      <c r="A10" s="64" t="s">
        <v>50</v>
      </c>
      <c r="B10" s="65">
        <v>17200.6</v>
      </c>
      <c r="C10" s="66">
        <v>17810.7</v>
      </c>
      <c r="D10" s="67" t="s">
        <v>3</v>
      </c>
      <c r="E10" s="66">
        <v>17810.7</v>
      </c>
      <c r="F10" s="70"/>
      <c r="G10" s="251">
        <v>17313.96</v>
      </c>
      <c r="H10" s="71">
        <f t="shared" si="0"/>
        <v>-496.7400000000016</v>
      </c>
      <c r="I10" s="72">
        <f aca="true" t="shared" si="1" ref="I10:I17">G10/B10</f>
        <v>1.00659046777438</v>
      </c>
      <c r="J10" s="70"/>
      <c r="K10" s="251">
        <v>17998.96</v>
      </c>
      <c r="L10" s="69" t="e">
        <f aca="true" t="shared" si="2" ref="L10:M17">J10/F10</f>
        <v>#DIV/0!</v>
      </c>
      <c r="M10" s="69">
        <f t="shared" si="2"/>
        <v>1.0395634505335578</v>
      </c>
    </row>
    <row r="11" spans="1:13" ht="18" customHeight="1">
      <c r="A11" s="64" t="s">
        <v>51</v>
      </c>
      <c r="B11" s="65">
        <v>11415.7</v>
      </c>
      <c r="C11" s="66">
        <v>11104.1</v>
      </c>
      <c r="D11" s="67" t="s">
        <v>3</v>
      </c>
      <c r="E11" s="66">
        <v>11104.1</v>
      </c>
      <c r="F11" s="66"/>
      <c r="G11" s="251">
        <v>11647</v>
      </c>
      <c r="H11" s="68">
        <f t="shared" si="0"/>
        <v>542.8999999999996</v>
      </c>
      <c r="I11" s="72">
        <f t="shared" si="1"/>
        <v>1.0202615695927537</v>
      </c>
      <c r="J11" s="66"/>
      <c r="K11" s="251">
        <v>12169.7</v>
      </c>
      <c r="L11" s="69" t="e">
        <f t="shared" si="2"/>
        <v>#DIV/0!</v>
      </c>
      <c r="M11" s="69">
        <f t="shared" si="2"/>
        <v>1.0448785094874218</v>
      </c>
    </row>
    <row r="12" spans="1:13" ht="18" customHeight="1">
      <c r="A12" s="64" t="s">
        <v>52</v>
      </c>
      <c r="B12" s="65">
        <v>2223.3</v>
      </c>
      <c r="C12" s="66">
        <v>2230.54</v>
      </c>
      <c r="D12" s="67" t="s">
        <v>3</v>
      </c>
      <c r="E12" s="66">
        <v>2230.54</v>
      </c>
      <c r="F12" s="66"/>
      <c r="G12" s="251">
        <v>2359.4</v>
      </c>
      <c r="H12" s="68">
        <f t="shared" si="0"/>
        <v>128.86000000000013</v>
      </c>
      <c r="I12" s="72">
        <f t="shared" si="1"/>
        <v>1.0612153105743714</v>
      </c>
      <c r="J12" s="66"/>
      <c r="K12" s="251">
        <v>2429.7</v>
      </c>
      <c r="L12" s="69" t="e">
        <f t="shared" si="2"/>
        <v>#DIV/0!</v>
      </c>
      <c r="M12" s="69">
        <f t="shared" si="2"/>
        <v>1.0297957107739255</v>
      </c>
    </row>
    <row r="13" spans="1:13" ht="18" customHeight="1">
      <c r="A13" s="64" t="s">
        <v>53</v>
      </c>
      <c r="B13" s="65">
        <v>1425.8</v>
      </c>
      <c r="C13" s="66">
        <v>2531.2</v>
      </c>
      <c r="D13" s="67" t="s">
        <v>3</v>
      </c>
      <c r="E13" s="66">
        <v>2230.54</v>
      </c>
      <c r="F13" s="66"/>
      <c r="G13" s="251">
        <v>1444.4</v>
      </c>
      <c r="H13" s="68">
        <f t="shared" si="0"/>
        <v>-786.1399999999999</v>
      </c>
      <c r="I13" s="72">
        <f t="shared" si="1"/>
        <v>1.013045307897321</v>
      </c>
      <c r="J13" s="66"/>
      <c r="K13" s="251">
        <v>1408.16</v>
      </c>
      <c r="L13" s="69" t="e">
        <f t="shared" si="2"/>
        <v>#DIV/0!</v>
      </c>
      <c r="M13" s="69">
        <f t="shared" si="2"/>
        <v>0.9749099972306841</v>
      </c>
    </row>
    <row r="14" spans="1:13" ht="35.25" customHeight="1">
      <c r="A14" s="64" t="s">
        <v>204</v>
      </c>
      <c r="B14" s="65">
        <v>1003.7</v>
      </c>
      <c r="C14" s="66">
        <v>969</v>
      </c>
      <c r="D14" s="67" t="s">
        <v>3</v>
      </c>
      <c r="E14" s="66">
        <v>969</v>
      </c>
      <c r="F14" s="66"/>
      <c r="G14" s="251">
        <v>969</v>
      </c>
      <c r="H14" s="68">
        <f t="shared" si="0"/>
        <v>0</v>
      </c>
      <c r="I14" s="72">
        <f t="shared" si="1"/>
        <v>0.9654279167081797</v>
      </c>
      <c r="J14" s="66"/>
      <c r="K14" s="251">
        <v>1035.9</v>
      </c>
      <c r="L14" s="69" t="e">
        <f t="shared" si="2"/>
        <v>#DIV/0!</v>
      </c>
      <c r="M14" s="69">
        <f t="shared" si="2"/>
        <v>1.0690402476780188</v>
      </c>
    </row>
    <row r="15" spans="1:13" ht="18" customHeight="1">
      <c r="A15" s="64" t="s">
        <v>54</v>
      </c>
      <c r="B15" s="65">
        <v>133.6</v>
      </c>
      <c r="C15" s="66">
        <v>165</v>
      </c>
      <c r="D15" s="67" t="s">
        <v>3</v>
      </c>
      <c r="E15" s="66">
        <v>165</v>
      </c>
      <c r="F15" s="66"/>
      <c r="G15" s="251">
        <v>100</v>
      </c>
      <c r="H15" s="68">
        <f t="shared" si="0"/>
        <v>-65</v>
      </c>
      <c r="I15" s="72">
        <f t="shared" si="1"/>
        <v>0.7485029940119761</v>
      </c>
      <c r="J15" s="66"/>
      <c r="K15" s="251">
        <v>110</v>
      </c>
      <c r="L15" s="69" t="e">
        <f t="shared" si="2"/>
        <v>#DIV/0!</v>
      </c>
      <c r="M15" s="69">
        <f t="shared" si="2"/>
        <v>1.1</v>
      </c>
    </row>
    <row r="16" spans="1:13" ht="18" customHeight="1">
      <c r="A16" s="64" t="s">
        <v>55</v>
      </c>
      <c r="B16" s="65">
        <v>304.6</v>
      </c>
      <c r="C16" s="66">
        <v>329</v>
      </c>
      <c r="D16" s="67" t="s">
        <v>3</v>
      </c>
      <c r="E16" s="66">
        <v>329</v>
      </c>
      <c r="F16" s="66"/>
      <c r="G16" s="251">
        <v>306</v>
      </c>
      <c r="H16" s="68">
        <f t="shared" si="0"/>
        <v>-23</v>
      </c>
      <c r="I16" s="72">
        <f t="shared" si="1"/>
        <v>1.0045961917268549</v>
      </c>
      <c r="J16" s="66"/>
      <c r="K16" s="251">
        <v>341</v>
      </c>
      <c r="L16" s="69" t="e">
        <f t="shared" si="2"/>
        <v>#DIV/0!</v>
      </c>
      <c r="M16" s="69">
        <f t="shared" si="2"/>
        <v>1.1143790849673203</v>
      </c>
    </row>
    <row r="17" spans="1:13" ht="18" customHeight="1">
      <c r="A17" s="64" t="s">
        <v>56</v>
      </c>
      <c r="B17" s="65">
        <v>11634.5</v>
      </c>
      <c r="C17" s="66">
        <v>10069</v>
      </c>
      <c r="D17" s="67" t="s">
        <v>3</v>
      </c>
      <c r="E17" s="66">
        <v>10069</v>
      </c>
      <c r="F17" s="70"/>
      <c r="G17" s="251">
        <v>10016.2</v>
      </c>
      <c r="H17" s="71">
        <f t="shared" si="0"/>
        <v>-52.79999999999927</v>
      </c>
      <c r="I17" s="72">
        <f t="shared" si="1"/>
        <v>0.8609050668271091</v>
      </c>
      <c r="J17" s="70"/>
      <c r="K17" s="251">
        <v>10235.7</v>
      </c>
      <c r="L17" s="69" t="e">
        <f t="shared" si="2"/>
        <v>#DIV/0!</v>
      </c>
      <c r="M17" s="69">
        <f t="shared" si="2"/>
        <v>1.0219144985124098</v>
      </c>
    </row>
    <row r="18" spans="1:13" ht="16.5" customHeight="1">
      <c r="A18" s="64" t="s">
        <v>57</v>
      </c>
      <c r="B18" s="65"/>
      <c r="C18" s="66"/>
      <c r="D18" s="67"/>
      <c r="E18" s="66"/>
      <c r="F18" s="70"/>
      <c r="G18" s="251"/>
      <c r="H18" s="71"/>
      <c r="I18" s="72"/>
      <c r="J18" s="70"/>
      <c r="K18" s="251"/>
      <c r="L18" s="69"/>
      <c r="M18" s="69"/>
    </row>
    <row r="19" spans="1:13" ht="45" customHeight="1">
      <c r="A19" s="64" t="s">
        <v>58</v>
      </c>
      <c r="B19" s="65">
        <v>6268.2</v>
      </c>
      <c r="C19" s="66">
        <v>6339.6</v>
      </c>
      <c r="D19" s="67" t="s">
        <v>3</v>
      </c>
      <c r="E19" s="66">
        <v>6002.3</v>
      </c>
      <c r="F19" s="70"/>
      <c r="G19" s="251">
        <v>6246.9</v>
      </c>
      <c r="H19" s="71">
        <f t="shared" si="0"/>
        <v>244.59999999999945</v>
      </c>
      <c r="I19" s="72">
        <f aca="true" t="shared" si="3" ref="I19:I25">G19/B19</f>
        <v>0.9966018952809419</v>
      </c>
      <c r="J19" s="70"/>
      <c r="K19" s="251">
        <v>6501.8</v>
      </c>
      <c r="L19" s="69" t="e">
        <f aca="true" t="shared" si="4" ref="L19:M25">J19/F19</f>
        <v>#DIV/0!</v>
      </c>
      <c r="M19" s="69">
        <f t="shared" si="4"/>
        <v>1.0408042389024956</v>
      </c>
    </row>
    <row r="20" spans="1:13" ht="26.25" customHeight="1">
      <c r="A20" s="73" t="s">
        <v>59</v>
      </c>
      <c r="B20" s="65">
        <f>5475.64416+161.94557</f>
        <v>5637.58973</v>
      </c>
      <c r="C20" s="66">
        <f>5233.7+73</f>
        <v>5306.7</v>
      </c>
      <c r="D20" s="67" t="s">
        <v>3</v>
      </c>
      <c r="E20" s="66">
        <f>5089.1</f>
        <v>5089.1</v>
      </c>
      <c r="F20" s="70"/>
      <c r="G20" s="251">
        <v>5734</v>
      </c>
      <c r="H20" s="71">
        <f t="shared" si="0"/>
        <v>644.8999999999996</v>
      </c>
      <c r="I20" s="72">
        <f t="shared" si="3"/>
        <v>1.0171013278044978</v>
      </c>
      <c r="J20" s="70"/>
      <c r="K20" s="251">
        <v>5988.9</v>
      </c>
      <c r="L20" s="69" t="e">
        <f t="shared" si="4"/>
        <v>#DIV/0!</v>
      </c>
      <c r="M20" s="69">
        <f t="shared" si="4"/>
        <v>1.0444541332403208</v>
      </c>
    </row>
    <row r="21" spans="1:13" ht="34.5" customHeight="1">
      <c r="A21" s="74" t="s">
        <v>60</v>
      </c>
      <c r="B21" s="75">
        <v>742.7</v>
      </c>
      <c r="C21" s="66">
        <v>20.9</v>
      </c>
      <c r="D21" s="67" t="s">
        <v>3</v>
      </c>
      <c r="E21" s="66">
        <v>271.1</v>
      </c>
      <c r="F21" s="70"/>
      <c r="G21" s="251">
        <v>230</v>
      </c>
      <c r="H21" s="71">
        <f t="shared" si="0"/>
        <v>-41.10000000000002</v>
      </c>
      <c r="I21" s="72">
        <f t="shared" si="3"/>
        <v>0.30968089403527665</v>
      </c>
      <c r="J21" s="70"/>
      <c r="K21" s="251">
        <v>22.3</v>
      </c>
      <c r="L21" s="69" t="e">
        <f t="shared" si="4"/>
        <v>#DIV/0!</v>
      </c>
      <c r="M21" s="69">
        <f t="shared" si="4"/>
        <v>0.09695652173913044</v>
      </c>
    </row>
    <row r="22" spans="1:13" ht="15">
      <c r="A22" s="74" t="s">
        <v>140</v>
      </c>
      <c r="B22" s="75">
        <v>24.7</v>
      </c>
      <c r="C22" s="66">
        <v>20.4</v>
      </c>
      <c r="D22" s="67" t="s">
        <v>3</v>
      </c>
      <c r="E22" s="66">
        <v>24.5</v>
      </c>
      <c r="F22" s="70"/>
      <c r="G22" s="251">
        <v>26</v>
      </c>
      <c r="H22" s="71">
        <f>G22-E22</f>
        <v>1.5</v>
      </c>
      <c r="I22" s="72">
        <f t="shared" si="3"/>
        <v>1.0526315789473684</v>
      </c>
      <c r="J22" s="70"/>
      <c r="K22" s="251">
        <v>37.6</v>
      </c>
      <c r="L22" s="69" t="e">
        <f t="shared" si="4"/>
        <v>#DIV/0!</v>
      </c>
      <c r="M22" s="69">
        <f t="shared" si="4"/>
        <v>1.4461538461538461</v>
      </c>
    </row>
    <row r="23" spans="1:13" ht="15">
      <c r="A23" s="74" t="s">
        <v>203</v>
      </c>
      <c r="B23" s="75">
        <v>227.1</v>
      </c>
      <c r="C23" s="66">
        <v>181.1</v>
      </c>
      <c r="D23" s="67" t="s">
        <v>3</v>
      </c>
      <c r="E23" s="66">
        <v>107.25</v>
      </c>
      <c r="F23" s="70"/>
      <c r="G23" s="251">
        <v>107.3</v>
      </c>
      <c r="H23" s="71">
        <f>G23-E23</f>
        <v>0.04999999999999716</v>
      </c>
      <c r="I23" s="72">
        <f t="shared" si="3"/>
        <v>0.472479084103919</v>
      </c>
      <c r="J23" s="70"/>
      <c r="K23" s="251">
        <v>110</v>
      </c>
      <c r="L23" s="69" t="e">
        <f t="shared" si="4"/>
        <v>#DIV/0!</v>
      </c>
      <c r="M23" s="69">
        <f t="shared" si="4"/>
        <v>1.0251630941286114</v>
      </c>
    </row>
    <row r="24" spans="1:13" ht="45">
      <c r="A24" s="205" t="s">
        <v>201</v>
      </c>
      <c r="B24" s="75">
        <v>0</v>
      </c>
      <c r="C24" s="66">
        <v>0</v>
      </c>
      <c r="D24" s="67" t="s">
        <v>3</v>
      </c>
      <c r="E24" s="66">
        <v>30</v>
      </c>
      <c r="F24" s="70"/>
      <c r="G24" s="251">
        <v>0</v>
      </c>
      <c r="H24" s="71">
        <f>G24-E24</f>
        <v>-30</v>
      </c>
      <c r="I24" s="72" t="e">
        <f t="shared" si="3"/>
        <v>#DIV/0!</v>
      </c>
      <c r="J24" s="70"/>
      <c r="K24" s="251">
        <v>0</v>
      </c>
      <c r="L24" s="69" t="e">
        <f t="shared" si="4"/>
        <v>#DIV/0!</v>
      </c>
      <c r="M24" s="69" t="e">
        <f t="shared" si="4"/>
        <v>#DIV/0!</v>
      </c>
    </row>
    <row r="25" spans="1:13" ht="60">
      <c r="A25" s="205" t="s">
        <v>205</v>
      </c>
      <c r="B25" s="75">
        <v>0</v>
      </c>
      <c r="C25" s="66">
        <v>0</v>
      </c>
      <c r="D25" s="67" t="s">
        <v>3</v>
      </c>
      <c r="E25" s="66">
        <v>0</v>
      </c>
      <c r="F25" s="70"/>
      <c r="G25" s="251">
        <v>0</v>
      </c>
      <c r="H25" s="71">
        <f>G25-E25</f>
        <v>0</v>
      </c>
      <c r="I25" s="72" t="e">
        <f t="shared" si="3"/>
        <v>#DIV/0!</v>
      </c>
      <c r="J25" s="70"/>
      <c r="K25" s="251">
        <v>0</v>
      </c>
      <c r="L25" s="69" t="e">
        <f t="shared" si="4"/>
        <v>#DIV/0!</v>
      </c>
      <c r="M25" s="69" t="e">
        <f t="shared" si="4"/>
        <v>#DIV/0!</v>
      </c>
    </row>
    <row r="26" spans="1:13" s="82" customFormat="1" ht="18.75" customHeight="1">
      <c r="A26" s="76" t="s">
        <v>20</v>
      </c>
      <c r="B26" s="77"/>
      <c r="C26" s="78"/>
      <c r="D26" s="78"/>
      <c r="E26" s="78"/>
      <c r="F26" s="78"/>
      <c r="G26" s="78"/>
      <c r="H26" s="79"/>
      <c r="I26" s="80"/>
      <c r="J26" s="78"/>
      <c r="K26" s="78"/>
      <c r="L26" s="81"/>
      <c r="M26" s="81"/>
    </row>
    <row r="27" spans="1:13" ht="19.5" customHeight="1">
      <c r="A27" s="64" t="s">
        <v>21</v>
      </c>
      <c r="B27" s="83"/>
      <c r="C27" s="66"/>
      <c r="D27" s="67" t="s">
        <v>3</v>
      </c>
      <c r="E27" s="66"/>
      <c r="F27" s="70"/>
      <c r="G27" s="66"/>
      <c r="H27" s="68">
        <f t="shared" si="0"/>
        <v>0</v>
      </c>
      <c r="I27" s="72" t="e">
        <f>G27/B27</f>
        <v>#DIV/0!</v>
      </c>
      <c r="J27" s="70"/>
      <c r="K27" s="70"/>
      <c r="L27" s="69" t="e">
        <f aca="true" t="shared" si="5" ref="L27:M29">J27/F27</f>
        <v>#DIV/0!</v>
      </c>
      <c r="M27" s="69" t="e">
        <f t="shared" si="5"/>
        <v>#DIV/0!</v>
      </c>
    </row>
    <row r="28" spans="1:13" ht="32.25" customHeight="1">
      <c r="A28" s="64" t="s">
        <v>22</v>
      </c>
      <c r="B28" s="65"/>
      <c r="C28" s="66"/>
      <c r="D28" s="67" t="s">
        <v>3</v>
      </c>
      <c r="E28" s="66"/>
      <c r="F28" s="70"/>
      <c r="G28" s="66"/>
      <c r="H28" s="68">
        <f t="shared" si="0"/>
        <v>0</v>
      </c>
      <c r="I28" s="72" t="e">
        <f>G28/B28</f>
        <v>#DIV/0!</v>
      </c>
      <c r="J28" s="70"/>
      <c r="K28" s="66"/>
      <c r="L28" s="69" t="e">
        <f t="shared" si="5"/>
        <v>#DIV/0!</v>
      </c>
      <c r="M28" s="69" t="e">
        <f t="shared" si="5"/>
        <v>#DIV/0!</v>
      </c>
    </row>
    <row r="29" spans="1:13" ht="32.25" customHeight="1">
      <c r="A29" s="64" t="s">
        <v>23</v>
      </c>
      <c r="B29" s="65"/>
      <c r="C29" s="66"/>
      <c r="D29" s="67" t="s">
        <v>3</v>
      </c>
      <c r="E29" s="66"/>
      <c r="F29" s="66"/>
      <c r="G29" s="66"/>
      <c r="H29" s="68">
        <f t="shared" si="0"/>
        <v>0</v>
      </c>
      <c r="I29" s="72" t="e">
        <f>G29/B29</f>
        <v>#DIV/0!</v>
      </c>
      <c r="J29" s="66"/>
      <c r="K29" s="66"/>
      <c r="L29" s="69" t="e">
        <f t="shared" si="5"/>
        <v>#DIV/0!</v>
      </c>
      <c r="M29" s="69" t="e">
        <f t="shared" si="5"/>
        <v>#DIV/0!</v>
      </c>
    </row>
    <row r="30" spans="1:13" ht="48.75" customHeight="1">
      <c r="A30" s="64" t="s">
        <v>104</v>
      </c>
      <c r="B30" s="163">
        <f>B28+B33</f>
        <v>30052.4</v>
      </c>
      <c r="C30" s="163">
        <f aca="true" t="shared" si="6" ref="C30:H30">C28+C33</f>
        <v>36799.7</v>
      </c>
      <c r="D30" s="163"/>
      <c r="E30" s="163">
        <f t="shared" si="6"/>
        <v>36799.7</v>
      </c>
      <c r="F30" s="163">
        <f t="shared" si="6"/>
        <v>0</v>
      </c>
      <c r="G30" s="163">
        <f t="shared" si="6"/>
        <v>36799.7</v>
      </c>
      <c r="H30" s="163">
        <f t="shared" si="6"/>
        <v>0</v>
      </c>
      <c r="I30" s="72"/>
      <c r="J30" s="66"/>
      <c r="K30" s="66"/>
      <c r="L30" s="69"/>
      <c r="M30" s="69"/>
    </row>
    <row r="31" spans="1:13" s="82" customFormat="1" ht="30" customHeight="1">
      <c r="A31" s="58" t="s">
        <v>61</v>
      </c>
      <c r="B31" s="59">
        <f>B33+B34+B35+B36+B37+B38</f>
        <v>70494.75690000001</v>
      </c>
      <c r="C31" s="59">
        <f>C33+C34+C35+C36+C37+C38</f>
        <v>71435.5</v>
      </c>
      <c r="D31" s="60" t="s">
        <v>3</v>
      </c>
      <c r="E31" s="59">
        <f>E33+E34+E35+E36+E37+E38</f>
        <v>86078.36743999999</v>
      </c>
      <c r="F31" s="59">
        <f>F33+F34+F35+F36+F37+F38</f>
        <v>0</v>
      </c>
      <c r="G31" s="59">
        <f>G33+G34+G35+G36+G37+G38</f>
        <v>86078.36743999999</v>
      </c>
      <c r="H31" s="61">
        <f aca="true" t="shared" si="7" ref="H31:H36">G31-E31</f>
        <v>0</v>
      </c>
      <c r="I31" s="62">
        <f>G31/B31</f>
        <v>1.221060561455741</v>
      </c>
      <c r="J31" s="59">
        <f>J33+J34+J35+J36+J37+J38</f>
        <v>0</v>
      </c>
      <c r="K31" s="59">
        <f>K33+K34+K35+K36+K37+K38</f>
        <v>42697.4</v>
      </c>
      <c r="L31" s="62" t="e">
        <f aca="true" t="shared" si="8" ref="L31:L39">J31/F31</f>
        <v>#DIV/0!</v>
      </c>
      <c r="M31" s="62">
        <f aca="true" t="shared" si="9" ref="M31:M39">K31/G31</f>
        <v>0.4960293889142562</v>
      </c>
    </row>
    <row r="32" spans="1:13" ht="18.75" customHeight="1">
      <c r="A32" s="73" t="s">
        <v>4</v>
      </c>
      <c r="B32" s="84"/>
      <c r="C32" s="85"/>
      <c r="D32" s="85"/>
      <c r="E32" s="85"/>
      <c r="F32" s="66"/>
      <c r="G32" s="66"/>
      <c r="H32" s="68">
        <f t="shared" si="7"/>
        <v>0</v>
      </c>
      <c r="I32" s="69"/>
      <c r="J32" s="66"/>
      <c r="K32" s="66"/>
      <c r="L32" s="69" t="e">
        <f t="shared" si="8"/>
        <v>#DIV/0!</v>
      </c>
      <c r="M32" s="69" t="e">
        <f t="shared" si="9"/>
        <v>#DIV/0!</v>
      </c>
    </row>
    <row r="33" spans="1:14" ht="33" customHeight="1">
      <c r="A33" s="64" t="s">
        <v>137</v>
      </c>
      <c r="B33" s="65">
        <v>30052.4</v>
      </c>
      <c r="C33" s="66">
        <v>36799.7</v>
      </c>
      <c r="D33" s="67" t="s">
        <v>3</v>
      </c>
      <c r="E33" s="66">
        <v>36799.7</v>
      </c>
      <c r="F33" s="66"/>
      <c r="G33" s="251">
        <f>E33</f>
        <v>36799.7</v>
      </c>
      <c r="H33" s="68">
        <f t="shared" si="7"/>
        <v>0</v>
      </c>
      <c r="I33" s="72">
        <f aca="true" t="shared" si="10" ref="I33:I99">G33/B33</f>
        <v>1.2245178421690113</v>
      </c>
      <c r="J33" s="66"/>
      <c r="K33" s="251">
        <v>38810.4</v>
      </c>
      <c r="L33" s="69" t="e">
        <f t="shared" si="8"/>
        <v>#DIV/0!</v>
      </c>
      <c r="M33" s="69">
        <f t="shared" si="9"/>
        <v>1.0546390323834163</v>
      </c>
      <c r="N33">
        <v>101</v>
      </c>
    </row>
    <row r="34" spans="1:13" ht="48.75" customHeight="1">
      <c r="A34" s="64" t="s">
        <v>138</v>
      </c>
      <c r="B34" s="65"/>
      <c r="C34" s="66"/>
      <c r="D34" s="67" t="s">
        <v>3</v>
      </c>
      <c r="E34" s="66"/>
      <c r="F34" s="66"/>
      <c r="G34" s="251"/>
      <c r="H34" s="68">
        <f t="shared" si="7"/>
        <v>0</v>
      </c>
      <c r="I34" s="72" t="e">
        <f t="shared" si="10"/>
        <v>#DIV/0!</v>
      </c>
      <c r="J34" s="66"/>
      <c r="K34" s="66"/>
      <c r="L34" s="69" t="e">
        <f t="shared" si="8"/>
        <v>#DIV/0!</v>
      </c>
      <c r="M34" s="69" t="e">
        <f t="shared" si="9"/>
        <v>#DIV/0!</v>
      </c>
    </row>
    <row r="35" spans="1:14" ht="17.25" customHeight="1">
      <c r="A35" s="64" t="s">
        <v>62</v>
      </c>
      <c r="B35" s="65">
        <v>34355.8</v>
      </c>
      <c r="C35" s="66">
        <v>34585.8</v>
      </c>
      <c r="D35" s="67" t="s">
        <v>3</v>
      </c>
      <c r="E35" s="66">
        <v>43429.54332</v>
      </c>
      <c r="F35" s="66"/>
      <c r="G35" s="251">
        <f>E35</f>
        <v>43429.54332</v>
      </c>
      <c r="H35" s="68">
        <f t="shared" si="7"/>
        <v>0</v>
      </c>
      <c r="I35" s="72">
        <f t="shared" si="10"/>
        <v>1.2641109600125742</v>
      </c>
      <c r="J35" s="86"/>
      <c r="K35" s="251">
        <v>3762</v>
      </c>
      <c r="L35" s="69" t="e">
        <f t="shared" si="8"/>
        <v>#DIV/0!</v>
      </c>
      <c r="M35" s="69">
        <f t="shared" si="9"/>
        <v>0.08662306145566903</v>
      </c>
      <c r="N35">
        <v>102</v>
      </c>
    </row>
    <row r="36" spans="1:13" ht="17.25" customHeight="1">
      <c r="A36" s="64" t="s">
        <v>63</v>
      </c>
      <c r="B36" s="65"/>
      <c r="C36" s="66"/>
      <c r="D36" s="67" t="s">
        <v>3</v>
      </c>
      <c r="E36" s="66"/>
      <c r="F36" s="66"/>
      <c r="G36" s="251"/>
      <c r="H36" s="68">
        <f t="shared" si="7"/>
        <v>0</v>
      </c>
      <c r="I36" s="72" t="e">
        <f t="shared" si="10"/>
        <v>#DIV/0!</v>
      </c>
      <c r="J36" s="66"/>
      <c r="K36" s="66"/>
      <c r="L36" s="69" t="e">
        <f t="shared" si="8"/>
        <v>#DIV/0!</v>
      </c>
      <c r="M36" s="69" t="e">
        <f t="shared" si="9"/>
        <v>#DIV/0!</v>
      </c>
    </row>
    <row r="37" spans="1:14" ht="33" customHeight="1">
      <c r="A37" s="64" t="s">
        <v>135</v>
      </c>
      <c r="B37" s="65">
        <v>6086.5569</v>
      </c>
      <c r="C37" s="66">
        <v>50</v>
      </c>
      <c r="D37" s="67"/>
      <c r="E37" s="66">
        <v>3930</v>
      </c>
      <c r="F37" s="66"/>
      <c r="G37" s="251">
        <f>E37</f>
        <v>3930</v>
      </c>
      <c r="H37" s="68"/>
      <c r="I37" s="72">
        <f t="shared" si="10"/>
        <v>0.6456852477629841</v>
      </c>
      <c r="J37" s="66"/>
      <c r="K37" s="251">
        <v>125</v>
      </c>
      <c r="L37" s="69" t="e">
        <f t="shared" si="8"/>
        <v>#DIV/0!</v>
      </c>
      <c r="M37" s="69">
        <f t="shared" si="9"/>
        <v>0.031806615776081425</v>
      </c>
      <c r="N37">
        <v>207</v>
      </c>
    </row>
    <row r="38" spans="1:14" ht="33" customHeight="1">
      <c r="A38" s="64" t="s">
        <v>136</v>
      </c>
      <c r="B38" s="65">
        <v>0</v>
      </c>
      <c r="C38" s="66">
        <v>0</v>
      </c>
      <c r="D38" s="67"/>
      <c r="E38" s="66">
        <v>1919.12412</v>
      </c>
      <c r="F38" s="66"/>
      <c r="G38" s="251">
        <f>E38</f>
        <v>1919.12412</v>
      </c>
      <c r="H38" s="68"/>
      <c r="I38" s="72" t="e">
        <f t="shared" si="10"/>
        <v>#DIV/0!</v>
      </c>
      <c r="J38" s="66"/>
      <c r="K38" s="251">
        <v>0</v>
      </c>
      <c r="L38" s="69" t="e">
        <f t="shared" si="8"/>
        <v>#DIV/0!</v>
      </c>
      <c r="M38" s="69">
        <f t="shared" si="9"/>
        <v>0</v>
      </c>
      <c r="N38">
        <v>218</v>
      </c>
    </row>
    <row r="39" spans="1:17" s="82" customFormat="1" ht="64.5" customHeight="1">
      <c r="A39" s="52" t="s">
        <v>126</v>
      </c>
      <c r="B39" s="53">
        <f aca="true" t="shared" si="11" ref="B39:G39">B41+B64+B82+B99+B100</f>
        <v>104255.65647000002</v>
      </c>
      <c r="C39" s="53">
        <f t="shared" si="11"/>
        <v>99315.19700000001</v>
      </c>
      <c r="D39" s="53">
        <f t="shared" si="11"/>
        <v>0</v>
      </c>
      <c r="E39" s="53">
        <f t="shared" si="11"/>
        <v>128434.28275999999</v>
      </c>
      <c r="F39" s="53">
        <f t="shared" si="11"/>
        <v>0</v>
      </c>
      <c r="G39" s="53">
        <f t="shared" si="11"/>
        <v>128434.28275999999</v>
      </c>
      <c r="H39" s="87">
        <f>G39-E39</f>
        <v>0</v>
      </c>
      <c r="I39" s="55">
        <f t="shared" si="10"/>
        <v>1.2319166854697947</v>
      </c>
      <c r="J39" s="53">
        <f>J41+J64+J82+J99</f>
        <v>0</v>
      </c>
      <c r="K39" s="53">
        <f>K41+K64+K82+K99</f>
        <v>243665.80000000002</v>
      </c>
      <c r="L39" s="56" t="e">
        <f t="shared" si="8"/>
        <v>#DIV/0!</v>
      </c>
      <c r="M39" s="56">
        <f t="shared" si="9"/>
        <v>1.8972021703529778</v>
      </c>
      <c r="N39" s="224">
        <v>223665.75</v>
      </c>
      <c r="O39" s="226">
        <f>K39-N39</f>
        <v>20000.050000000017</v>
      </c>
      <c r="P39" s="226">
        <f>128434.28972-E39</f>
        <v>0.006960000013350509</v>
      </c>
      <c r="Q39" s="226">
        <f>128434.28972-E39</f>
        <v>0.006960000013350509</v>
      </c>
    </row>
    <row r="40" spans="1:13" ht="14.25" customHeight="1">
      <c r="A40" s="88" t="s">
        <v>4</v>
      </c>
      <c r="B40" s="89"/>
      <c r="C40" s="90"/>
      <c r="D40" s="90"/>
      <c r="E40" s="90"/>
      <c r="F40" s="90"/>
      <c r="G40" s="90"/>
      <c r="H40" s="87"/>
      <c r="I40" s="91"/>
      <c r="J40" s="92"/>
      <c r="K40" s="92"/>
      <c r="L40" s="56"/>
      <c r="M40" s="56"/>
    </row>
    <row r="41" spans="1:14" s="82" customFormat="1" ht="30.75" customHeight="1">
      <c r="A41" s="58" t="s">
        <v>64</v>
      </c>
      <c r="B41" s="59">
        <f aca="true" t="shared" si="12" ref="B41:G41">B42+B43+B44+B45+B61</f>
        <v>78657.96</v>
      </c>
      <c r="C41" s="59">
        <f t="shared" si="12"/>
        <v>83367.20000000001</v>
      </c>
      <c r="D41" s="59">
        <f t="shared" si="12"/>
        <v>0</v>
      </c>
      <c r="E41" s="59">
        <f>E42+E43+E44+E45+E61</f>
        <v>93057.14658999999</v>
      </c>
      <c r="F41" s="59">
        <f t="shared" si="12"/>
        <v>0</v>
      </c>
      <c r="G41" s="59">
        <f t="shared" si="12"/>
        <v>93057.14658999999</v>
      </c>
      <c r="H41" s="59">
        <f>H42+H43+H46+H47+H48+H49+H66+H61+H50+H44</f>
        <v>0</v>
      </c>
      <c r="I41" s="62">
        <f t="shared" si="10"/>
        <v>1.1830607682935075</v>
      </c>
      <c r="J41" s="59">
        <f>J42+J43+J46+J47+J48+J49+J66+J61+J50+J44</f>
        <v>0</v>
      </c>
      <c r="K41" s="59">
        <f>K42+K43+K44+K45+K61</f>
        <v>99248.426</v>
      </c>
      <c r="L41" s="62" t="e">
        <f aca="true" t="shared" si="13" ref="L41:L57">J41/F41</f>
        <v>#DIV/0!</v>
      </c>
      <c r="M41" s="62">
        <f aca="true" t="shared" si="14" ref="M41:M57">K41/G41</f>
        <v>1.0665320143253278</v>
      </c>
      <c r="N41" s="221"/>
    </row>
    <row r="42" spans="1:14" s="2" customFormat="1" ht="38.25" customHeight="1">
      <c r="A42" s="64" t="s">
        <v>108</v>
      </c>
      <c r="B42" s="66">
        <v>54419.8</v>
      </c>
      <c r="C42" s="66">
        <v>59085.83</v>
      </c>
      <c r="D42" s="66"/>
      <c r="E42" s="66">
        <f>59332.17974+2795.29593</f>
        <v>62127.47567</v>
      </c>
      <c r="F42" s="66"/>
      <c r="G42" s="251">
        <f>E42</f>
        <v>62127.47567</v>
      </c>
      <c r="H42" s="68">
        <f aca="true" t="shared" si="15" ref="H42:H99">G42-E42</f>
        <v>0</v>
      </c>
      <c r="I42" s="93">
        <f t="shared" si="10"/>
        <v>1.1416336640340463</v>
      </c>
      <c r="J42" s="66"/>
      <c r="K42" s="251">
        <f>63018.96+2989.2</f>
        <v>66008.16</v>
      </c>
      <c r="L42" s="69" t="e">
        <f t="shared" si="13"/>
        <v>#DIV/0!</v>
      </c>
      <c r="M42" s="69">
        <f t="shared" si="14"/>
        <v>1.0624632545930706</v>
      </c>
      <c r="N42" s="2" t="s">
        <v>218</v>
      </c>
    </row>
    <row r="43" spans="1:14" s="100" customFormat="1" ht="42" customHeight="1">
      <c r="A43" s="64" t="s">
        <v>109</v>
      </c>
      <c r="B43" s="65">
        <v>1496.52</v>
      </c>
      <c r="C43" s="66">
        <v>1914.19</v>
      </c>
      <c r="D43" s="66"/>
      <c r="E43" s="66">
        <f>1716.03949+212.79573</f>
        <v>1928.83522</v>
      </c>
      <c r="F43" s="96"/>
      <c r="G43" s="251">
        <f>E43</f>
        <v>1928.83522</v>
      </c>
      <c r="H43" s="68">
        <f t="shared" si="15"/>
        <v>0</v>
      </c>
      <c r="I43" s="93">
        <f t="shared" si="10"/>
        <v>1.2888803490765242</v>
      </c>
      <c r="J43" s="85"/>
      <c r="K43" s="250">
        <f>2646.59+360.7</f>
        <v>3007.29</v>
      </c>
      <c r="L43" s="98" t="e">
        <f t="shared" si="13"/>
        <v>#DIV/0!</v>
      </c>
      <c r="M43" s="98">
        <f t="shared" si="14"/>
        <v>1.5591222976527772</v>
      </c>
      <c r="N43" s="100" t="s">
        <v>219</v>
      </c>
    </row>
    <row r="44" spans="1:13" s="100" customFormat="1" ht="15.75" customHeight="1">
      <c r="A44" s="101" t="s">
        <v>70</v>
      </c>
      <c r="B44" s="65">
        <v>0</v>
      </c>
      <c r="C44" s="66"/>
      <c r="D44" s="66"/>
      <c r="E44" s="66"/>
      <c r="F44" s="96"/>
      <c r="G44" s="66"/>
      <c r="H44" s="68">
        <f t="shared" si="15"/>
        <v>0</v>
      </c>
      <c r="I44" s="93" t="e">
        <f t="shared" si="10"/>
        <v>#DIV/0!</v>
      </c>
      <c r="J44" s="85"/>
      <c r="K44" s="250"/>
      <c r="L44" s="98" t="e">
        <f t="shared" si="13"/>
        <v>#DIV/0!</v>
      </c>
      <c r="M44" s="98" t="e">
        <f t="shared" si="14"/>
        <v>#DIV/0!</v>
      </c>
    </row>
    <row r="45" spans="1:15" s="100" customFormat="1" ht="54" customHeight="1">
      <c r="A45" s="64" t="s">
        <v>115</v>
      </c>
      <c r="B45" s="169">
        <f aca="true" t="shared" si="16" ref="B45:G45">B46+B47+B48+B49+B50+B60</f>
        <v>21124.04</v>
      </c>
      <c r="C45" s="169">
        <f t="shared" si="16"/>
        <v>21458.21</v>
      </c>
      <c r="D45" s="169">
        <f t="shared" si="16"/>
        <v>0</v>
      </c>
      <c r="E45" s="169">
        <f>E46+E47+E48+E49+E50+E60</f>
        <v>28077.231089999997</v>
      </c>
      <c r="F45" s="169">
        <f t="shared" si="16"/>
        <v>0</v>
      </c>
      <c r="G45" s="169">
        <f t="shared" si="16"/>
        <v>28077.231089999997</v>
      </c>
      <c r="H45" s="68">
        <f t="shared" si="15"/>
        <v>0</v>
      </c>
      <c r="I45" s="93">
        <f t="shared" si="10"/>
        <v>1.329160098636435</v>
      </c>
      <c r="J45" s="169">
        <f>J46+J47+J48+J49+J50+J60</f>
        <v>0</v>
      </c>
      <c r="K45" s="252">
        <f>K46+K47+K48+K49+K50+K60</f>
        <v>28003.626</v>
      </c>
      <c r="L45" s="98" t="e">
        <f t="shared" si="13"/>
        <v>#DIV/0!</v>
      </c>
      <c r="M45" s="98">
        <f t="shared" si="14"/>
        <v>0.9973784776082777</v>
      </c>
      <c r="N45" s="100" t="s">
        <v>220</v>
      </c>
      <c r="O45" s="256">
        <f>E45-E50</f>
        <v>18004.384639999997</v>
      </c>
    </row>
    <row r="46" spans="1:14" s="99" customFormat="1" ht="15" customHeight="1">
      <c r="A46" s="73" t="s">
        <v>74</v>
      </c>
      <c r="B46" s="84">
        <v>1313.43</v>
      </c>
      <c r="C46" s="85">
        <v>1458.65</v>
      </c>
      <c r="D46" s="85"/>
      <c r="E46" s="85">
        <f>1456.79877+56.32148</f>
        <v>1513.1202500000002</v>
      </c>
      <c r="F46" s="96"/>
      <c r="G46" s="250">
        <f>E46</f>
        <v>1513.1202500000002</v>
      </c>
      <c r="H46" s="135">
        <f t="shared" si="15"/>
        <v>0</v>
      </c>
      <c r="I46" s="93">
        <f t="shared" si="10"/>
        <v>1.15203722314855</v>
      </c>
      <c r="J46" s="85"/>
      <c r="K46" s="250">
        <f>1579.87+45</f>
        <v>1624.87</v>
      </c>
      <c r="L46" s="98" t="e">
        <f t="shared" si="13"/>
        <v>#DIV/0!</v>
      </c>
      <c r="M46" s="98">
        <f t="shared" si="14"/>
        <v>1.0738538460509002</v>
      </c>
      <c r="N46" s="99">
        <v>221</v>
      </c>
    </row>
    <row r="47" spans="1:14" s="99" customFormat="1" ht="15" customHeight="1">
      <c r="A47" s="73" t="s">
        <v>73</v>
      </c>
      <c r="B47" s="84">
        <v>824.8</v>
      </c>
      <c r="C47" s="85">
        <v>37.5</v>
      </c>
      <c r="D47" s="85"/>
      <c r="E47" s="85">
        <f>2904.3966+9</f>
        <v>2913.3966</v>
      </c>
      <c r="F47" s="96"/>
      <c r="G47" s="250">
        <f>E47</f>
        <v>2913.3966</v>
      </c>
      <c r="H47" s="135">
        <f t="shared" si="15"/>
        <v>0</v>
      </c>
      <c r="I47" s="93">
        <f t="shared" si="10"/>
        <v>3.5322461202715814</v>
      </c>
      <c r="J47" s="85"/>
      <c r="K47" s="250">
        <f>2736+80</f>
        <v>2816</v>
      </c>
      <c r="L47" s="98" t="e">
        <f t="shared" si="13"/>
        <v>#DIV/0!</v>
      </c>
      <c r="M47" s="98">
        <f t="shared" si="14"/>
        <v>0.9665693987560774</v>
      </c>
      <c r="N47" s="99">
        <v>222</v>
      </c>
    </row>
    <row r="48" spans="1:14" s="99" customFormat="1" ht="15" customHeight="1">
      <c r="A48" s="73" t="s">
        <v>71</v>
      </c>
      <c r="B48" s="84">
        <v>8109.88</v>
      </c>
      <c r="C48" s="85">
        <v>9373.49</v>
      </c>
      <c r="D48" s="85"/>
      <c r="E48" s="85">
        <f>7992.86573+1094.71358</f>
        <v>9087.579310000001</v>
      </c>
      <c r="F48" s="96"/>
      <c r="G48" s="250">
        <f>E48</f>
        <v>9087.579310000001</v>
      </c>
      <c r="H48" s="135">
        <f t="shared" si="15"/>
        <v>0</v>
      </c>
      <c r="I48" s="93">
        <f t="shared" si="10"/>
        <v>1.1205565692710622</v>
      </c>
      <c r="J48" s="85"/>
      <c r="K48" s="250">
        <f>8291.15+1200</f>
        <v>9491.15</v>
      </c>
      <c r="L48" s="98" t="e">
        <f t="shared" si="13"/>
        <v>#DIV/0!</v>
      </c>
      <c r="M48" s="98">
        <f t="shared" si="14"/>
        <v>1.044409041861776</v>
      </c>
      <c r="N48" s="99">
        <v>223</v>
      </c>
    </row>
    <row r="49" spans="1:14" s="99" customFormat="1" ht="30.75" customHeight="1">
      <c r="A49" s="73" t="s">
        <v>72</v>
      </c>
      <c r="B49" s="84">
        <v>0</v>
      </c>
      <c r="C49" s="85">
        <v>0</v>
      </c>
      <c r="D49" s="85"/>
      <c r="E49" s="85"/>
      <c r="F49" s="85"/>
      <c r="G49" s="250"/>
      <c r="H49" s="135">
        <f t="shared" si="15"/>
        <v>0</v>
      </c>
      <c r="I49" s="93" t="e">
        <f t="shared" si="10"/>
        <v>#DIV/0!</v>
      </c>
      <c r="J49" s="85"/>
      <c r="K49" s="250">
        <v>0</v>
      </c>
      <c r="L49" s="98" t="e">
        <f t="shared" si="13"/>
        <v>#DIV/0!</v>
      </c>
      <c r="M49" s="98" t="e">
        <f t="shared" si="14"/>
        <v>#DIV/0!</v>
      </c>
      <c r="N49" s="99">
        <v>224</v>
      </c>
    </row>
    <row r="50" spans="1:16" s="99" customFormat="1" ht="30.75" customHeight="1">
      <c r="A50" s="136" t="s">
        <v>75</v>
      </c>
      <c r="B50" s="84">
        <v>6630.53</v>
      </c>
      <c r="C50" s="85">
        <v>6121.58</v>
      </c>
      <c r="D50" s="85"/>
      <c r="E50" s="85">
        <f>E52+E53+E54+E55+E56+E57+E58+E59</f>
        <v>10072.84645</v>
      </c>
      <c r="F50" s="96"/>
      <c r="G50" s="250">
        <f>E50</f>
        <v>10072.84645</v>
      </c>
      <c r="H50" s="135">
        <f t="shared" si="15"/>
        <v>0</v>
      </c>
      <c r="I50" s="93">
        <f t="shared" si="10"/>
        <v>1.519161582859892</v>
      </c>
      <c r="J50" s="85"/>
      <c r="K50" s="250">
        <f>K52+K53+K54+K55+K56+K57+K58+K59</f>
        <v>9256.522</v>
      </c>
      <c r="L50" s="98" t="e">
        <f t="shared" si="13"/>
        <v>#DIV/0!</v>
      </c>
      <c r="M50" s="98">
        <f t="shared" si="14"/>
        <v>0.918957917798896</v>
      </c>
      <c r="N50" s="99">
        <v>340</v>
      </c>
      <c r="O50" s="225">
        <f>C52+C53+C54+C55+C56+C57+C59</f>
        <v>6121.58694</v>
      </c>
      <c r="P50" s="225">
        <f>O50-C50</f>
        <v>0.006940000000213331</v>
      </c>
    </row>
    <row r="51" spans="1:13" s="99" customFormat="1" ht="21.75" customHeight="1">
      <c r="A51" s="73" t="s">
        <v>142</v>
      </c>
      <c r="B51" s="84"/>
      <c r="C51" s="85"/>
      <c r="D51" s="85"/>
      <c r="E51" s="85"/>
      <c r="F51" s="85"/>
      <c r="G51" s="250"/>
      <c r="H51" s="135">
        <f t="shared" si="15"/>
        <v>0</v>
      </c>
      <c r="I51" s="93" t="e">
        <f t="shared" si="10"/>
        <v>#DIV/0!</v>
      </c>
      <c r="J51" s="85"/>
      <c r="K51" s="250"/>
      <c r="L51" s="98" t="e">
        <f t="shared" si="13"/>
        <v>#DIV/0!</v>
      </c>
      <c r="M51" s="98" t="e">
        <f t="shared" si="14"/>
        <v>#DIV/0!</v>
      </c>
    </row>
    <row r="52" spans="1:13" s="99" customFormat="1" ht="49.5" customHeight="1">
      <c r="A52" s="213" t="s">
        <v>221</v>
      </c>
      <c r="B52" s="84">
        <f>3.6636</f>
        <v>3.6636</v>
      </c>
      <c r="C52" s="85">
        <v>0</v>
      </c>
      <c r="D52" s="85"/>
      <c r="E52" s="85">
        <v>0</v>
      </c>
      <c r="F52" s="85"/>
      <c r="G52" s="250">
        <f>E52</f>
        <v>0</v>
      </c>
      <c r="H52" s="135">
        <f t="shared" si="15"/>
        <v>0</v>
      </c>
      <c r="I52" s="93">
        <f t="shared" si="10"/>
        <v>0</v>
      </c>
      <c r="J52" s="85"/>
      <c r="K52" s="250">
        <v>0</v>
      </c>
      <c r="L52" s="98" t="e">
        <f t="shared" si="13"/>
        <v>#DIV/0!</v>
      </c>
      <c r="M52" s="98" t="e">
        <f t="shared" si="14"/>
        <v>#DIV/0!</v>
      </c>
    </row>
    <row r="53" spans="1:13" s="99" customFormat="1" ht="42.75" customHeight="1">
      <c r="A53" s="213" t="s">
        <v>222</v>
      </c>
      <c r="B53" s="84">
        <f>1530.01731</f>
        <v>1530.01731</v>
      </c>
      <c r="C53" s="85">
        <v>1510.94</v>
      </c>
      <c r="D53" s="85"/>
      <c r="E53" s="85">
        <f>1615.10845+0</f>
        <v>1615.10845</v>
      </c>
      <c r="F53" s="85"/>
      <c r="G53" s="250">
        <f aca="true" t="shared" si="17" ref="G53:G59">E53</f>
        <v>1615.10845</v>
      </c>
      <c r="H53" s="135">
        <f t="shared" si="15"/>
        <v>0</v>
      </c>
      <c r="I53" s="93">
        <f t="shared" si="10"/>
        <v>1.055614494975877</v>
      </c>
      <c r="J53" s="85"/>
      <c r="K53" s="250">
        <f>1694.7</f>
        <v>1694.7</v>
      </c>
      <c r="L53" s="98" t="e">
        <f t="shared" si="13"/>
        <v>#DIV/0!</v>
      </c>
      <c r="M53" s="98">
        <f t="shared" si="14"/>
        <v>1.049279384303884</v>
      </c>
    </row>
    <row r="54" spans="1:13" s="99" customFormat="1" ht="35.25" customHeight="1">
      <c r="A54" s="214" t="s">
        <v>223</v>
      </c>
      <c r="B54" s="84">
        <f>663.58995-2.7+1865.92153-296.9</f>
        <v>2229.91148</v>
      </c>
      <c r="C54" s="85">
        <f>854.8+1510.43594</f>
        <v>2365.23594</v>
      </c>
      <c r="D54" s="85"/>
      <c r="E54" s="85">
        <f>1421.002+2162.98972-111.8</f>
        <v>3472.19172</v>
      </c>
      <c r="F54" s="85"/>
      <c r="G54" s="250">
        <f t="shared" si="17"/>
        <v>3472.19172</v>
      </c>
      <c r="H54" s="135">
        <f t="shared" si="15"/>
        <v>0</v>
      </c>
      <c r="I54" s="93">
        <f t="shared" si="10"/>
        <v>1.5570984548678137</v>
      </c>
      <c r="J54" s="85"/>
      <c r="K54" s="250">
        <f>1198+510+1416.51</f>
        <v>3124.51</v>
      </c>
      <c r="L54" s="98" t="e">
        <f t="shared" si="13"/>
        <v>#DIV/0!</v>
      </c>
      <c r="M54" s="98">
        <f t="shared" si="14"/>
        <v>0.8998667850057543</v>
      </c>
    </row>
    <row r="55" spans="1:13" s="99" customFormat="1" ht="36" customHeight="1">
      <c r="A55" s="214" t="s">
        <v>224</v>
      </c>
      <c r="B55" s="84">
        <f>381.65776+37.97636</f>
        <v>419.63412</v>
      </c>
      <c r="C55" s="85">
        <v>201.81</v>
      </c>
      <c r="D55" s="85"/>
      <c r="E55" s="85">
        <f>495.666+20.85</f>
        <v>516.516</v>
      </c>
      <c r="F55" s="85"/>
      <c r="G55" s="250">
        <f t="shared" si="17"/>
        <v>516.516</v>
      </c>
      <c r="H55" s="135">
        <f t="shared" si="15"/>
        <v>0</v>
      </c>
      <c r="I55" s="93">
        <f t="shared" si="10"/>
        <v>1.230872265582217</v>
      </c>
      <c r="J55" s="85"/>
      <c r="K55" s="250">
        <f>755.27+271</f>
        <v>1026.27</v>
      </c>
      <c r="L55" s="98" t="e">
        <f t="shared" si="13"/>
        <v>#DIV/0!</v>
      </c>
      <c r="M55" s="98">
        <f t="shared" si="14"/>
        <v>1.9869084403968127</v>
      </c>
    </row>
    <row r="56" spans="1:13" s="99" customFormat="1" ht="32.25" customHeight="1">
      <c r="A56" s="214" t="s">
        <v>225</v>
      </c>
      <c r="B56" s="84">
        <f>22.7984+1.8</f>
        <v>24.5984</v>
      </c>
      <c r="C56" s="85">
        <v>36.2</v>
      </c>
      <c r="D56" s="85"/>
      <c r="E56" s="85">
        <v>139.3</v>
      </c>
      <c r="F56" s="85"/>
      <c r="G56" s="250">
        <f t="shared" si="17"/>
        <v>139.3</v>
      </c>
      <c r="H56" s="135">
        <f t="shared" si="15"/>
        <v>0</v>
      </c>
      <c r="I56" s="93">
        <f t="shared" si="10"/>
        <v>5.662969949264993</v>
      </c>
      <c r="J56" s="85"/>
      <c r="K56" s="250">
        <f>56.37+59.4</f>
        <v>115.77</v>
      </c>
      <c r="L56" s="98" t="e">
        <f t="shared" si="13"/>
        <v>#DIV/0!</v>
      </c>
      <c r="M56" s="98">
        <f t="shared" si="14"/>
        <v>0.8310839913854988</v>
      </c>
    </row>
    <row r="57" spans="1:13" s="99" customFormat="1" ht="36.75" customHeight="1">
      <c r="A57" s="214" t="s">
        <v>226</v>
      </c>
      <c r="B57" s="84">
        <f>2059.16633+23.412</f>
        <v>2082.57833</v>
      </c>
      <c r="C57" s="85">
        <f>1121.145+33.856+448.1</f>
        <v>1603.101</v>
      </c>
      <c r="D57" s="85"/>
      <c r="E57" s="85">
        <f>2915.569+318.00585</f>
        <v>3233.57485</v>
      </c>
      <c r="F57" s="85"/>
      <c r="G57" s="250">
        <f t="shared" si="17"/>
        <v>3233.57485</v>
      </c>
      <c r="H57" s="135">
        <f t="shared" si="15"/>
        <v>0</v>
      </c>
      <c r="I57" s="93">
        <f t="shared" si="10"/>
        <v>1.5526786212166148</v>
      </c>
      <c r="J57" s="85"/>
      <c r="K57" s="250">
        <f>2591.472+132.8</f>
        <v>2724.2720000000004</v>
      </c>
      <c r="L57" s="98" t="e">
        <f t="shared" si="13"/>
        <v>#DIV/0!</v>
      </c>
      <c r="M57" s="98">
        <f t="shared" si="14"/>
        <v>0.8424954195818292</v>
      </c>
    </row>
    <row r="58" spans="1:13" s="99" customFormat="1" ht="36.75" customHeight="1">
      <c r="A58" s="214" t="s">
        <v>254</v>
      </c>
      <c r="B58" s="84">
        <v>0</v>
      </c>
      <c r="C58" s="85">
        <v>0</v>
      </c>
      <c r="D58" s="85"/>
      <c r="E58" s="85">
        <v>22.378</v>
      </c>
      <c r="F58" s="85"/>
      <c r="G58" s="250">
        <f t="shared" si="17"/>
        <v>22.378</v>
      </c>
      <c r="H58" s="135"/>
      <c r="I58" s="93"/>
      <c r="J58" s="85"/>
      <c r="K58" s="250">
        <v>0</v>
      </c>
      <c r="L58" s="98"/>
      <c r="M58" s="98"/>
    </row>
    <row r="59" spans="1:13" s="99" customFormat="1" ht="40.5" customHeight="1">
      <c r="A59" s="214" t="s">
        <v>227</v>
      </c>
      <c r="B59" s="84">
        <f>340.13606</f>
        <v>340.13606</v>
      </c>
      <c r="C59" s="85">
        <v>404.3</v>
      </c>
      <c r="D59" s="85"/>
      <c r="E59" s="85">
        <f>1080.61263-6.8352</f>
        <v>1073.77743</v>
      </c>
      <c r="F59" s="85"/>
      <c r="G59" s="250">
        <f t="shared" si="17"/>
        <v>1073.77743</v>
      </c>
      <c r="H59" s="135">
        <f t="shared" si="15"/>
        <v>0</v>
      </c>
      <c r="I59" s="93">
        <f t="shared" si="10"/>
        <v>3.1569055924267486</v>
      </c>
      <c r="J59" s="85"/>
      <c r="K59" s="250">
        <f>571</f>
        <v>571</v>
      </c>
      <c r="L59" s="98" t="e">
        <f aca="true" t="shared" si="18" ref="L59:L100">J59/F59</f>
        <v>#DIV/0!</v>
      </c>
      <c r="M59" s="98">
        <f aca="true" t="shared" si="19" ref="M59:M100">K59/G59</f>
        <v>0.5317675563361394</v>
      </c>
    </row>
    <row r="60" spans="1:14" s="99" customFormat="1" ht="33" customHeight="1">
      <c r="A60" s="136" t="s">
        <v>146</v>
      </c>
      <c r="B60" s="84">
        <v>4245.4</v>
      </c>
      <c r="C60" s="66">
        <v>4466.99</v>
      </c>
      <c r="D60" s="85"/>
      <c r="E60" s="85">
        <f>4143.13074+347.15774</f>
        <v>4490.288479999999</v>
      </c>
      <c r="F60" s="85"/>
      <c r="G60" s="250">
        <f>E60</f>
        <v>4490.288479999999</v>
      </c>
      <c r="H60" s="135">
        <f t="shared" si="15"/>
        <v>0</v>
      </c>
      <c r="I60" s="93">
        <f t="shared" si="10"/>
        <v>1.0576832524614876</v>
      </c>
      <c r="J60" s="85"/>
      <c r="K60" s="250">
        <f>4614.684+125.1+96.9-21.6</f>
        <v>4815.084</v>
      </c>
      <c r="L60" s="98" t="e">
        <f t="shared" si="18"/>
        <v>#DIV/0!</v>
      </c>
      <c r="M60" s="98">
        <f t="shared" si="19"/>
        <v>1.0723328849464033</v>
      </c>
      <c r="N60" s="99">
        <v>225</v>
      </c>
    </row>
    <row r="61" spans="1:14" s="100" customFormat="1" ht="18" customHeight="1">
      <c r="A61" s="101" t="s">
        <v>117</v>
      </c>
      <c r="B61" s="65">
        <v>1617.6</v>
      </c>
      <c r="C61" s="100">
        <v>908.97</v>
      </c>
      <c r="D61" s="66"/>
      <c r="E61" s="66">
        <f>908.54934+15.05527</f>
        <v>923.60461</v>
      </c>
      <c r="F61" s="96"/>
      <c r="G61" s="250">
        <f>E61</f>
        <v>923.60461</v>
      </c>
      <c r="H61" s="68">
        <f t="shared" si="15"/>
        <v>0</v>
      </c>
      <c r="I61" s="93">
        <f t="shared" si="10"/>
        <v>0.5709721871909001</v>
      </c>
      <c r="J61" s="85"/>
      <c r="K61" s="250">
        <v>2229.35</v>
      </c>
      <c r="L61" s="98" t="e">
        <f t="shared" si="18"/>
        <v>#DIV/0!</v>
      </c>
      <c r="M61" s="98">
        <f t="shared" si="19"/>
        <v>2.413749320718527</v>
      </c>
      <c r="N61" s="100">
        <v>850</v>
      </c>
    </row>
    <row r="62" spans="1:13" ht="33" customHeight="1">
      <c r="A62" s="64" t="s">
        <v>116</v>
      </c>
      <c r="B62" s="69">
        <f>B41/B7</f>
        <v>0.7918863718810009</v>
      </c>
      <c r="C62" s="69">
        <f>C41/C7</f>
        <v>0.8394203505606394</v>
      </c>
      <c r="D62" s="69"/>
      <c r="E62" s="69">
        <f>E41/E7</f>
        <v>0.8165911258454385</v>
      </c>
      <c r="F62" s="69" t="e">
        <f>F41/F7</f>
        <v>#DIV/0!</v>
      </c>
      <c r="G62" s="69">
        <f>G41/G7</f>
        <v>0.8205480548121293</v>
      </c>
      <c r="H62" s="102">
        <f t="shared" si="15"/>
        <v>0.003956928966690865</v>
      </c>
      <c r="I62" s="69">
        <f t="shared" si="10"/>
        <v>1.0361941863742992</v>
      </c>
      <c r="J62" s="69" t="e">
        <f>J41/J7</f>
        <v>#DIV/0!</v>
      </c>
      <c r="K62" s="253">
        <f>K41/K7</f>
        <v>1.3992040552607665</v>
      </c>
      <c r="L62" s="69" t="e">
        <f t="shared" si="18"/>
        <v>#DIV/0!</v>
      </c>
      <c r="M62" s="69">
        <f t="shared" si="19"/>
        <v>1.7052067176993368</v>
      </c>
    </row>
    <row r="63" spans="1:13" ht="30.75" customHeight="1">
      <c r="A63" s="64" t="s">
        <v>65</v>
      </c>
      <c r="B63" s="69">
        <f>B42/B7</f>
        <v>0.547869509716368</v>
      </c>
      <c r="C63" s="69">
        <f>C42/C7</f>
        <v>0.5949323970550329</v>
      </c>
      <c r="D63" s="69"/>
      <c r="E63" s="69">
        <f>E42/E7</f>
        <v>0.5451783894344358</v>
      </c>
      <c r="F63" s="69" t="e">
        <f>F42/F7</f>
        <v>#DIV/0!</v>
      </c>
      <c r="G63" s="69">
        <f>G42/G7</f>
        <v>0.5478201425626412</v>
      </c>
      <c r="H63" s="102">
        <f t="shared" si="15"/>
        <v>0.0026417531282054707</v>
      </c>
      <c r="I63" s="69">
        <f t="shared" si="10"/>
        <v>0.9999098924965684</v>
      </c>
      <c r="J63" s="69" t="e">
        <f>J42/J7</f>
        <v>#DIV/0!</v>
      </c>
      <c r="K63" s="253">
        <f>K42/K7</f>
        <v>0.9305828704255876</v>
      </c>
      <c r="L63" s="69" t="e">
        <f t="shared" si="18"/>
        <v>#DIV/0!</v>
      </c>
      <c r="M63" s="69">
        <f t="shared" si="19"/>
        <v>1.6987014498452453</v>
      </c>
    </row>
    <row r="64" spans="1:14" s="82" customFormat="1" ht="30" customHeight="1">
      <c r="A64" s="58" t="s">
        <v>66</v>
      </c>
      <c r="B64" s="59">
        <f aca="true" t="shared" si="20" ref="B64:G64">B65+B66+B67+B70+B71+B72+B68+B69</f>
        <v>14650.652560000002</v>
      </c>
      <c r="C64" s="59">
        <f t="shared" si="20"/>
        <v>9314.887</v>
      </c>
      <c r="D64" s="59">
        <f t="shared" si="20"/>
        <v>0</v>
      </c>
      <c r="E64" s="59">
        <f>E65+E66+E67+E70+E71+E72+E68+E69</f>
        <v>21624.733880000003</v>
      </c>
      <c r="F64" s="59">
        <f t="shared" si="20"/>
        <v>0</v>
      </c>
      <c r="G64" s="59">
        <f t="shared" si="20"/>
        <v>21624.733880000003</v>
      </c>
      <c r="H64" s="61">
        <f t="shared" si="15"/>
        <v>0</v>
      </c>
      <c r="I64" s="62">
        <f t="shared" si="10"/>
        <v>1.4760253027254917</v>
      </c>
      <c r="J64" s="59">
        <f>J65+J66+J67+J70+J71+J72</f>
        <v>0</v>
      </c>
      <c r="K64" s="59">
        <f>K65+K66+K67+K70+K71+K72+K68</f>
        <v>137356.234</v>
      </c>
      <c r="L64" s="62" t="e">
        <f t="shared" si="18"/>
        <v>#DIV/0!</v>
      </c>
      <c r="M64" s="62">
        <f t="shared" si="19"/>
        <v>6.351811530362286</v>
      </c>
      <c r="N64" s="82" t="s">
        <v>228</v>
      </c>
    </row>
    <row r="65" spans="1:14" s="100" customFormat="1" ht="23.25" customHeight="1">
      <c r="A65" s="64" t="s">
        <v>118</v>
      </c>
      <c r="B65" s="65">
        <v>1038</v>
      </c>
      <c r="C65" s="66">
        <v>0</v>
      </c>
      <c r="D65" s="66"/>
      <c r="E65" s="66">
        <v>1564.94332</v>
      </c>
      <c r="F65" s="96"/>
      <c r="G65" s="251">
        <f>E65</f>
        <v>1564.94332</v>
      </c>
      <c r="H65" s="68">
        <f t="shared" si="15"/>
        <v>0</v>
      </c>
      <c r="I65" s="93">
        <f t="shared" si="10"/>
        <v>1.5076525240847785</v>
      </c>
      <c r="J65" s="85"/>
      <c r="K65" s="250">
        <v>0</v>
      </c>
      <c r="L65" s="98" t="e">
        <f t="shared" si="18"/>
        <v>#DIV/0!</v>
      </c>
      <c r="M65" s="98">
        <f t="shared" si="19"/>
        <v>0</v>
      </c>
      <c r="N65" s="100">
        <v>810</v>
      </c>
    </row>
    <row r="66" spans="1:14" s="100" customFormat="1" ht="18" customHeight="1">
      <c r="A66" s="64" t="s">
        <v>110</v>
      </c>
      <c r="B66" s="65">
        <v>99.9</v>
      </c>
      <c r="C66" s="66">
        <v>89</v>
      </c>
      <c r="D66" s="66"/>
      <c r="E66" s="66">
        <v>1209.2</v>
      </c>
      <c r="F66" s="96"/>
      <c r="G66" s="251">
        <f>E66</f>
        <v>1209.2</v>
      </c>
      <c r="H66" s="68">
        <f t="shared" si="15"/>
        <v>0</v>
      </c>
      <c r="I66" s="93">
        <f t="shared" si="10"/>
        <v>12.104104104104104</v>
      </c>
      <c r="J66" s="85"/>
      <c r="K66" s="250">
        <v>49</v>
      </c>
      <c r="L66" s="98" t="e">
        <f t="shared" si="18"/>
        <v>#DIV/0!</v>
      </c>
      <c r="M66" s="98">
        <f t="shared" si="19"/>
        <v>0.04052265960965928</v>
      </c>
      <c r="N66" s="100">
        <v>300</v>
      </c>
    </row>
    <row r="67" spans="1:14" s="100" customFormat="1" ht="31.5" customHeight="1">
      <c r="A67" s="64" t="s">
        <v>119</v>
      </c>
      <c r="B67" s="65">
        <v>0</v>
      </c>
      <c r="C67" s="66">
        <v>0</v>
      </c>
      <c r="D67" s="66"/>
      <c r="E67" s="66"/>
      <c r="F67" s="96"/>
      <c r="G67" s="251"/>
      <c r="H67" s="68">
        <f t="shared" si="15"/>
        <v>0</v>
      </c>
      <c r="I67" s="93" t="e">
        <f t="shared" si="10"/>
        <v>#DIV/0!</v>
      </c>
      <c r="J67" s="85"/>
      <c r="K67" s="250">
        <f>106392.9+20000</f>
        <v>126392.9</v>
      </c>
      <c r="L67" s="98" t="e">
        <f t="shared" si="18"/>
        <v>#DIV/0!</v>
      </c>
      <c r="M67" s="98" t="e">
        <f t="shared" si="19"/>
        <v>#DIV/0!</v>
      </c>
      <c r="N67" s="100">
        <v>414</v>
      </c>
    </row>
    <row r="68" spans="1:14" s="100" customFormat="1" ht="21.75" customHeight="1">
      <c r="A68" s="64" t="s">
        <v>120</v>
      </c>
      <c r="B68" s="65">
        <v>4321.77</v>
      </c>
      <c r="C68" s="66">
        <v>90</v>
      </c>
      <c r="D68" s="66"/>
      <c r="E68" s="66">
        <v>1468.08189</v>
      </c>
      <c r="F68" s="96"/>
      <c r="G68" s="251">
        <f>E68</f>
        <v>1468.08189</v>
      </c>
      <c r="H68" s="68">
        <f t="shared" si="15"/>
        <v>0</v>
      </c>
      <c r="I68" s="93">
        <f t="shared" si="10"/>
        <v>0.3396945904108733</v>
      </c>
      <c r="J68" s="85"/>
      <c r="K68" s="250">
        <f>302.04</f>
        <v>302.04</v>
      </c>
      <c r="L68" s="98" t="e">
        <f t="shared" si="18"/>
        <v>#DIV/0!</v>
      </c>
      <c r="M68" s="98">
        <f t="shared" si="19"/>
        <v>0.2057378420491244</v>
      </c>
      <c r="N68" s="220" t="s">
        <v>229</v>
      </c>
    </row>
    <row r="69" spans="1:14" s="100" customFormat="1" ht="29.25" customHeight="1">
      <c r="A69" s="64" t="s">
        <v>121</v>
      </c>
      <c r="B69" s="65">
        <v>0</v>
      </c>
      <c r="C69" s="66">
        <v>0</v>
      </c>
      <c r="D69" s="66"/>
      <c r="E69" s="66"/>
      <c r="F69" s="96"/>
      <c r="G69" s="251"/>
      <c r="H69" s="68">
        <f t="shared" si="15"/>
        <v>0</v>
      </c>
      <c r="I69" s="93" t="e">
        <f t="shared" si="10"/>
        <v>#DIV/0!</v>
      </c>
      <c r="J69" s="85"/>
      <c r="K69" s="250">
        <v>0</v>
      </c>
      <c r="L69" s="98" t="e">
        <f t="shared" si="18"/>
        <v>#DIV/0!</v>
      </c>
      <c r="M69" s="98" t="e">
        <f t="shared" si="19"/>
        <v>#DIV/0!</v>
      </c>
      <c r="N69" s="220">
        <v>412</v>
      </c>
    </row>
    <row r="70" spans="1:14" s="100" customFormat="1" ht="31.5" customHeight="1">
      <c r="A70" s="64" t="s">
        <v>111</v>
      </c>
      <c r="B70" s="65">
        <v>3000.45</v>
      </c>
      <c r="C70" s="66">
        <v>630.33</v>
      </c>
      <c r="D70" s="66"/>
      <c r="E70" s="66">
        <f>7444.54859+295.658</f>
        <v>7740.206590000001</v>
      </c>
      <c r="F70" s="96"/>
      <c r="G70" s="251">
        <f>E70</f>
        <v>7740.206590000001</v>
      </c>
      <c r="H70" s="68">
        <f t="shared" si="15"/>
        <v>0</v>
      </c>
      <c r="I70" s="93">
        <f t="shared" si="10"/>
        <v>2.5796819110466767</v>
      </c>
      <c r="J70" s="85"/>
      <c r="K70" s="250">
        <f>3568.74+23.1</f>
        <v>3591.8399999999997</v>
      </c>
      <c r="L70" s="98" t="e">
        <f t="shared" si="18"/>
        <v>#DIV/0!</v>
      </c>
      <c r="M70" s="98">
        <f t="shared" si="19"/>
        <v>0.4640496294556912</v>
      </c>
      <c r="N70" s="220">
        <v>310</v>
      </c>
    </row>
    <row r="71" spans="1:14" s="100" customFormat="1" ht="60.75" customHeight="1">
      <c r="A71" s="64" t="s">
        <v>112</v>
      </c>
      <c r="B71" s="65">
        <v>0</v>
      </c>
      <c r="C71" s="66">
        <v>0</v>
      </c>
      <c r="D71" s="66"/>
      <c r="E71" s="66"/>
      <c r="F71" s="96"/>
      <c r="G71" s="66"/>
      <c r="H71" s="68">
        <f t="shared" si="15"/>
        <v>0</v>
      </c>
      <c r="I71" s="93" t="e">
        <f t="shared" si="10"/>
        <v>#DIV/0!</v>
      </c>
      <c r="J71" s="85"/>
      <c r="K71" s="250"/>
      <c r="L71" s="98" t="e">
        <f t="shared" si="18"/>
        <v>#DIV/0!</v>
      </c>
      <c r="M71" s="98" t="e">
        <f t="shared" si="19"/>
        <v>#DIV/0!</v>
      </c>
      <c r="N71" s="220">
        <v>612.622</v>
      </c>
    </row>
    <row r="72" spans="1:14" s="100" customFormat="1" ht="18" customHeight="1">
      <c r="A72" s="64" t="s">
        <v>114</v>
      </c>
      <c r="B72" s="65">
        <f>B73+B74+B75+B76+B77+B78+B79+B80+B81</f>
        <v>6190.532560000001</v>
      </c>
      <c r="C72" s="65">
        <f>C73+C74+C75+C76+C77+C78+C79+C80+C81</f>
        <v>8505.557</v>
      </c>
      <c r="D72" s="65"/>
      <c r="E72" s="65">
        <f>E73+E74+E75+E76+E77+E78+E79+E80+E81</f>
        <v>9642.302080000001</v>
      </c>
      <c r="F72" s="96"/>
      <c r="G72" s="251">
        <f>E72</f>
        <v>9642.302080000001</v>
      </c>
      <c r="H72" s="68">
        <f t="shared" si="15"/>
        <v>0</v>
      </c>
      <c r="I72" s="93">
        <f t="shared" si="10"/>
        <v>1.5575884605314152</v>
      </c>
      <c r="J72" s="85"/>
      <c r="K72" s="250">
        <f>K73+K74+K77</f>
        <v>7020.454000000001</v>
      </c>
      <c r="L72" s="98" t="e">
        <f t="shared" si="18"/>
        <v>#DIV/0!</v>
      </c>
      <c r="M72" s="98">
        <f t="shared" si="19"/>
        <v>0.7280889917939596</v>
      </c>
      <c r="N72" s="220">
        <v>244</v>
      </c>
    </row>
    <row r="73" spans="1:14" s="100" customFormat="1" ht="18.75" customHeight="1">
      <c r="A73" s="94" t="s">
        <v>245</v>
      </c>
      <c r="B73" s="65">
        <v>6185.02</v>
      </c>
      <c r="C73" s="66">
        <v>7543.81</v>
      </c>
      <c r="D73" s="66"/>
      <c r="E73" s="66">
        <f>7687.37529+215.319</f>
        <v>7902.69429</v>
      </c>
      <c r="F73" s="96"/>
      <c r="G73" s="251">
        <f>E73</f>
        <v>7902.69429</v>
      </c>
      <c r="H73" s="68">
        <f t="shared" si="15"/>
        <v>0</v>
      </c>
      <c r="I73" s="93">
        <f t="shared" si="10"/>
        <v>1.2777152361673851</v>
      </c>
      <c r="J73" s="85"/>
      <c r="K73" s="250">
        <f>6582.524+97.93</f>
        <v>6680.454000000001</v>
      </c>
      <c r="L73" s="98" t="e">
        <f t="shared" si="18"/>
        <v>#DIV/0!</v>
      </c>
      <c r="M73" s="98">
        <f t="shared" si="19"/>
        <v>0.845338786349535</v>
      </c>
      <c r="N73" s="220"/>
    </row>
    <row r="74" spans="1:14" s="100" customFormat="1" ht="18" customHeight="1">
      <c r="A74" s="94" t="s">
        <v>246</v>
      </c>
      <c r="B74" s="65">
        <f>2.7449+2.76766</f>
        <v>5.51256</v>
      </c>
      <c r="C74" s="66">
        <f>40+3.5</f>
        <v>43.5</v>
      </c>
      <c r="D74" s="66"/>
      <c r="E74" s="66">
        <f>40</f>
        <v>40</v>
      </c>
      <c r="F74" s="96"/>
      <c r="G74" s="251">
        <f>E74</f>
        <v>40</v>
      </c>
      <c r="H74" s="68">
        <f t="shared" si="15"/>
        <v>0</v>
      </c>
      <c r="I74" s="93">
        <f t="shared" si="10"/>
        <v>7.25615684908645</v>
      </c>
      <c r="J74" s="85"/>
      <c r="K74" s="250">
        <f>40</f>
        <v>40</v>
      </c>
      <c r="L74" s="98" t="e">
        <f t="shared" si="18"/>
        <v>#DIV/0!</v>
      </c>
      <c r="M74" s="98">
        <f t="shared" si="19"/>
        <v>1</v>
      </c>
      <c r="N74" s="220"/>
    </row>
    <row r="75" spans="1:14" s="100" customFormat="1" ht="18" customHeight="1">
      <c r="A75" s="94" t="s">
        <v>247</v>
      </c>
      <c r="B75" s="65"/>
      <c r="C75" s="66"/>
      <c r="D75" s="66"/>
      <c r="E75" s="66"/>
      <c r="F75" s="96"/>
      <c r="G75" s="251"/>
      <c r="H75" s="68">
        <f t="shared" si="15"/>
        <v>0</v>
      </c>
      <c r="I75" s="93" t="e">
        <f t="shared" si="10"/>
        <v>#DIV/0!</v>
      </c>
      <c r="J75" s="85"/>
      <c r="K75" s="250"/>
      <c r="L75" s="98" t="e">
        <f t="shared" si="18"/>
        <v>#DIV/0!</v>
      </c>
      <c r="M75" s="98" t="e">
        <f t="shared" si="19"/>
        <v>#DIV/0!</v>
      </c>
      <c r="N75" s="220"/>
    </row>
    <row r="76" spans="1:14" s="100" customFormat="1" ht="18" customHeight="1">
      <c r="A76" s="219" t="s">
        <v>248</v>
      </c>
      <c r="B76" s="65"/>
      <c r="C76" s="66"/>
      <c r="D76" s="66"/>
      <c r="E76" s="66">
        <v>46.37637</v>
      </c>
      <c r="F76" s="96"/>
      <c r="G76" s="251">
        <f>E76</f>
        <v>46.37637</v>
      </c>
      <c r="H76" s="68">
        <f t="shared" si="15"/>
        <v>0</v>
      </c>
      <c r="I76" s="93" t="e">
        <f t="shared" si="10"/>
        <v>#DIV/0!</v>
      </c>
      <c r="J76" s="85"/>
      <c r="K76" s="250"/>
      <c r="L76" s="98" t="e">
        <f t="shared" si="18"/>
        <v>#DIV/0!</v>
      </c>
      <c r="M76" s="98">
        <f t="shared" si="19"/>
        <v>0</v>
      </c>
      <c r="N76" s="215"/>
    </row>
    <row r="77" spans="1:14" s="100" customFormat="1" ht="23.25" customHeight="1">
      <c r="A77" s="219" t="s">
        <v>249</v>
      </c>
      <c r="B77" s="65">
        <v>0</v>
      </c>
      <c r="C77" s="66">
        <v>918.247</v>
      </c>
      <c r="D77" s="66"/>
      <c r="E77" s="66">
        <v>1653.23142</v>
      </c>
      <c r="F77" s="96"/>
      <c r="G77" s="251">
        <f>E77</f>
        <v>1653.23142</v>
      </c>
      <c r="H77" s="68">
        <f t="shared" si="15"/>
        <v>0</v>
      </c>
      <c r="I77" s="93" t="e">
        <f t="shared" si="10"/>
        <v>#DIV/0!</v>
      </c>
      <c r="J77" s="85"/>
      <c r="K77" s="250">
        <v>300</v>
      </c>
      <c r="L77" s="98" t="e">
        <f t="shared" si="18"/>
        <v>#DIV/0!</v>
      </c>
      <c r="M77" s="98">
        <f t="shared" si="19"/>
        <v>0.18146279847500116</v>
      </c>
      <c r="N77" s="215"/>
    </row>
    <row r="78" spans="1:14" s="100" customFormat="1" ht="45.75" customHeight="1">
      <c r="A78" s="219" t="s">
        <v>250</v>
      </c>
      <c r="B78" s="65"/>
      <c r="C78" s="66"/>
      <c r="D78" s="66"/>
      <c r="E78" s="66"/>
      <c r="F78" s="96"/>
      <c r="G78" s="66"/>
      <c r="H78" s="68">
        <f t="shared" si="15"/>
        <v>0</v>
      </c>
      <c r="I78" s="93" t="e">
        <f t="shared" si="10"/>
        <v>#DIV/0!</v>
      </c>
      <c r="J78" s="85"/>
      <c r="K78" s="250"/>
      <c r="L78" s="98" t="e">
        <f t="shared" si="18"/>
        <v>#DIV/0!</v>
      </c>
      <c r="M78" s="98" t="e">
        <f t="shared" si="19"/>
        <v>#DIV/0!</v>
      </c>
      <c r="N78" s="215"/>
    </row>
    <row r="79" spans="1:14" s="100" customFormat="1" ht="19.5" customHeight="1">
      <c r="A79" s="219" t="s">
        <v>251</v>
      </c>
      <c r="B79" s="65"/>
      <c r="C79" s="66"/>
      <c r="D79" s="66"/>
      <c r="E79" s="66"/>
      <c r="F79" s="96"/>
      <c r="G79" s="66"/>
      <c r="H79" s="68">
        <f t="shared" si="15"/>
        <v>0</v>
      </c>
      <c r="I79" s="93" t="e">
        <f t="shared" si="10"/>
        <v>#DIV/0!</v>
      </c>
      <c r="J79" s="85"/>
      <c r="K79" s="250"/>
      <c r="L79" s="98" t="e">
        <f t="shared" si="18"/>
        <v>#DIV/0!</v>
      </c>
      <c r="M79" s="98" t="e">
        <f t="shared" si="19"/>
        <v>#DIV/0!</v>
      </c>
      <c r="N79" s="215"/>
    </row>
    <row r="80" spans="1:14" s="100" customFormat="1" ht="81.75" customHeight="1">
      <c r="A80" s="219" t="s">
        <v>252</v>
      </c>
      <c r="B80" s="65"/>
      <c r="C80" s="66"/>
      <c r="D80" s="66"/>
      <c r="E80" s="66"/>
      <c r="F80" s="96"/>
      <c r="G80" s="66"/>
      <c r="H80" s="68">
        <f t="shared" si="15"/>
        <v>0</v>
      </c>
      <c r="I80" s="93" t="e">
        <f t="shared" si="10"/>
        <v>#DIV/0!</v>
      </c>
      <c r="J80" s="85"/>
      <c r="K80" s="250">
        <v>0</v>
      </c>
      <c r="L80" s="98" t="e">
        <f t="shared" si="18"/>
        <v>#DIV/0!</v>
      </c>
      <c r="M80" s="98" t="e">
        <f t="shared" si="19"/>
        <v>#DIV/0!</v>
      </c>
      <c r="N80" s="215"/>
    </row>
    <row r="81" spans="1:13" s="99" customFormat="1" ht="14.25" customHeight="1">
      <c r="A81" s="219" t="s">
        <v>253</v>
      </c>
      <c r="B81" s="95"/>
      <c r="C81" s="96"/>
      <c r="D81" s="96"/>
      <c r="E81" s="96"/>
      <c r="F81" s="96"/>
      <c r="G81" s="96"/>
      <c r="H81" s="97">
        <f t="shared" si="15"/>
        <v>0</v>
      </c>
      <c r="I81" s="93" t="e">
        <f t="shared" si="10"/>
        <v>#DIV/0!</v>
      </c>
      <c r="J81" s="96"/>
      <c r="K81" s="96">
        <v>0</v>
      </c>
      <c r="L81" s="98" t="e">
        <f t="shared" si="18"/>
        <v>#DIV/0!</v>
      </c>
      <c r="M81" s="69" t="e">
        <f t="shared" si="19"/>
        <v>#DIV/0!</v>
      </c>
    </row>
    <row r="82" spans="1:36" ht="31.5" customHeight="1">
      <c r="A82" s="103" t="s">
        <v>67</v>
      </c>
      <c r="B82" s="104">
        <f>SUM(B84:B98)</f>
        <v>7355.82391</v>
      </c>
      <c r="C82" s="104">
        <f>SUM(C84:C98)</f>
        <v>2168.75</v>
      </c>
      <c r="D82" s="104"/>
      <c r="E82" s="104">
        <f>SUM(E84:E98)</f>
        <v>7545.91729</v>
      </c>
      <c r="F82" s="106"/>
      <c r="G82" s="105">
        <f>E82</f>
        <v>7545.91729</v>
      </c>
      <c r="H82" s="107">
        <f t="shared" si="15"/>
        <v>0</v>
      </c>
      <c r="I82" s="108">
        <f t="shared" si="10"/>
        <v>1.0258425680557108</v>
      </c>
      <c r="J82" s="106"/>
      <c r="K82" s="106">
        <f>K84+K85+K87+K86+K88+K89+K90+K91+K92+K93+K94+K95+K96+K97+K98</f>
        <v>1703.14</v>
      </c>
      <c r="L82" s="109" t="e">
        <f t="shared" si="18"/>
        <v>#DIV/0!</v>
      </c>
      <c r="M82" s="109">
        <f t="shared" si="19"/>
        <v>0.2257035075453365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</row>
    <row r="83" spans="1:36" ht="34.5" customHeight="1">
      <c r="A83" s="111" t="s">
        <v>68</v>
      </c>
      <c r="B83" s="65"/>
      <c r="C83" s="66"/>
      <c r="D83" s="66"/>
      <c r="E83" s="66"/>
      <c r="F83" s="85"/>
      <c r="G83" s="66"/>
      <c r="H83" s="68">
        <f t="shared" si="15"/>
        <v>0</v>
      </c>
      <c r="I83" s="217" t="e">
        <f>G83/B83</f>
        <v>#DIV/0!</v>
      </c>
      <c r="J83" s="85"/>
      <c r="K83" s="85"/>
      <c r="L83" s="69" t="e">
        <f t="shared" si="18"/>
        <v>#DIV/0!</v>
      </c>
      <c r="M83" s="69" t="e">
        <f t="shared" si="19"/>
        <v>#DIV/0!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</row>
    <row r="84" spans="1:36" ht="42.75" customHeight="1">
      <c r="A84" s="216" t="s">
        <v>230</v>
      </c>
      <c r="B84" s="218">
        <v>343.64206</v>
      </c>
      <c r="C84" s="218">
        <v>259.23</v>
      </c>
      <c r="D84" s="66"/>
      <c r="E84" s="66">
        <v>59.73632</v>
      </c>
      <c r="F84" s="85"/>
      <c r="G84" s="251">
        <f>E84</f>
        <v>59.73632</v>
      </c>
      <c r="H84" s="97">
        <f>G84-E84</f>
        <v>0</v>
      </c>
      <c r="I84" s="98">
        <f t="shared" si="10"/>
        <v>0.17383297027145048</v>
      </c>
      <c r="J84" s="85"/>
      <c r="K84" s="250">
        <v>112.51</v>
      </c>
      <c r="L84" s="69" t="e">
        <f t="shared" si="18"/>
        <v>#DIV/0!</v>
      </c>
      <c r="M84" s="69">
        <f t="shared" si="19"/>
        <v>1.8834437742398595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</row>
    <row r="85" spans="1:36" ht="34.5" customHeight="1">
      <c r="A85" s="216" t="s">
        <v>231</v>
      </c>
      <c r="B85" s="218">
        <f>4532.4239</f>
        <v>4532.4239</v>
      </c>
      <c r="C85" s="222">
        <v>63.79</v>
      </c>
      <c r="D85" s="66"/>
      <c r="E85" s="66">
        <f>3281.54543</f>
        <v>3281.54543</v>
      </c>
      <c r="F85" s="85"/>
      <c r="G85" s="251">
        <f aca="true" t="shared" si="21" ref="G85:G98">E85</f>
        <v>3281.54543</v>
      </c>
      <c r="H85" s="97">
        <f t="shared" si="15"/>
        <v>0</v>
      </c>
      <c r="I85" s="98">
        <f t="shared" si="10"/>
        <v>0.7240155604156973</v>
      </c>
      <c r="J85" s="85"/>
      <c r="K85" s="250">
        <v>56.29</v>
      </c>
      <c r="L85" s="69" t="e">
        <f t="shared" si="18"/>
        <v>#DIV/0!</v>
      </c>
      <c r="M85" s="69">
        <f t="shared" si="19"/>
        <v>0.017153503189501783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</row>
    <row r="86" spans="1:36" ht="34.5" customHeight="1">
      <c r="A86" s="216" t="s">
        <v>232</v>
      </c>
      <c r="B86" s="218">
        <v>218.05183</v>
      </c>
      <c r="C86" s="218">
        <v>200</v>
      </c>
      <c r="D86" s="66"/>
      <c r="E86" s="66">
        <f>275.81467</f>
        <v>275.81467</v>
      </c>
      <c r="F86" s="85"/>
      <c r="G86" s="251">
        <f t="shared" si="21"/>
        <v>275.81467</v>
      </c>
      <c r="H86" s="97">
        <f t="shared" si="15"/>
        <v>0</v>
      </c>
      <c r="I86" s="98">
        <f t="shared" si="10"/>
        <v>1.2649041743882634</v>
      </c>
      <c r="J86" s="85"/>
      <c r="K86" s="250">
        <v>201.4</v>
      </c>
      <c r="L86" s="69" t="e">
        <f t="shared" si="18"/>
        <v>#DIV/0!</v>
      </c>
      <c r="M86" s="69">
        <f t="shared" si="19"/>
        <v>0.7302004639564676</v>
      </c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</row>
    <row r="87" spans="1:36" ht="34.5" customHeight="1">
      <c r="A87" s="216" t="s">
        <v>233</v>
      </c>
      <c r="B87" s="218">
        <v>478.83849</v>
      </c>
      <c r="C87" s="218">
        <v>423.26</v>
      </c>
      <c r="D87" s="66"/>
      <c r="E87" s="66">
        <f>423.26</f>
        <v>423.26</v>
      </c>
      <c r="F87" s="85"/>
      <c r="G87" s="251">
        <f t="shared" si="21"/>
        <v>423.26</v>
      </c>
      <c r="H87" s="97">
        <f t="shared" si="15"/>
        <v>0</v>
      </c>
      <c r="I87" s="98">
        <f t="shared" si="10"/>
        <v>0.8839306130131687</v>
      </c>
      <c r="J87" s="85"/>
      <c r="K87" s="250">
        <v>330</v>
      </c>
      <c r="L87" s="69" t="e">
        <f t="shared" si="18"/>
        <v>#DIV/0!</v>
      </c>
      <c r="M87" s="69">
        <f t="shared" si="19"/>
        <v>0.7796626187213533</v>
      </c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</row>
    <row r="88" spans="1:36" ht="34.5" customHeight="1">
      <c r="A88" s="216" t="s">
        <v>234</v>
      </c>
      <c r="B88" s="218">
        <v>585.89736</v>
      </c>
      <c r="C88" s="223">
        <v>635.05</v>
      </c>
      <c r="D88" s="66"/>
      <c r="E88" s="66">
        <f>481</f>
        <v>481</v>
      </c>
      <c r="F88" s="85"/>
      <c r="G88" s="251">
        <f t="shared" si="21"/>
        <v>481</v>
      </c>
      <c r="H88" s="97">
        <f t="shared" si="15"/>
        <v>0</v>
      </c>
      <c r="I88" s="98">
        <f t="shared" si="10"/>
        <v>0.8209629072232036</v>
      </c>
      <c r="J88" s="85"/>
      <c r="K88" s="250">
        <v>0</v>
      </c>
      <c r="L88" s="69" t="e">
        <f t="shared" si="18"/>
        <v>#DIV/0!</v>
      </c>
      <c r="M88" s="69">
        <f t="shared" si="19"/>
        <v>0</v>
      </c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</row>
    <row r="89" spans="1:36" ht="34.5" customHeight="1">
      <c r="A89" s="216" t="s">
        <v>235</v>
      </c>
      <c r="B89" s="218">
        <v>0</v>
      </c>
      <c r="C89" s="218">
        <v>0</v>
      </c>
      <c r="D89" s="66"/>
      <c r="E89" s="66">
        <v>0</v>
      </c>
      <c r="F89" s="85"/>
      <c r="G89" s="251">
        <f t="shared" si="21"/>
        <v>0</v>
      </c>
      <c r="H89" s="97">
        <f t="shared" si="15"/>
        <v>0</v>
      </c>
      <c r="I89" s="98" t="e">
        <f t="shared" si="10"/>
        <v>#DIV/0!</v>
      </c>
      <c r="J89" s="85"/>
      <c r="K89" s="250">
        <v>0</v>
      </c>
      <c r="L89" s="69" t="e">
        <f t="shared" si="18"/>
        <v>#DIV/0!</v>
      </c>
      <c r="M89" s="69" t="e">
        <f t="shared" si="19"/>
        <v>#DIV/0!</v>
      </c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</row>
    <row r="90" spans="1:36" ht="34.5" customHeight="1">
      <c r="A90" s="216" t="s">
        <v>236</v>
      </c>
      <c r="B90" s="218">
        <v>361.31916</v>
      </c>
      <c r="C90" s="218">
        <v>410</v>
      </c>
      <c r="D90" s="66"/>
      <c r="E90" s="66">
        <v>1208.452</v>
      </c>
      <c r="F90" s="85"/>
      <c r="G90" s="251">
        <f t="shared" si="21"/>
        <v>1208.452</v>
      </c>
      <c r="H90" s="97">
        <f t="shared" si="15"/>
        <v>0</v>
      </c>
      <c r="I90" s="98">
        <f t="shared" si="10"/>
        <v>3.344555544743323</v>
      </c>
      <c r="J90" s="85"/>
      <c r="K90" s="250">
        <v>409.94</v>
      </c>
      <c r="L90" s="69" t="e">
        <f t="shared" si="18"/>
        <v>#DIV/0!</v>
      </c>
      <c r="M90" s="69">
        <f t="shared" si="19"/>
        <v>0.33922737518742985</v>
      </c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</row>
    <row r="91" spans="1:36" ht="34.5" customHeight="1">
      <c r="A91" s="216" t="s">
        <v>237</v>
      </c>
      <c r="B91" s="218">
        <v>834.00113</v>
      </c>
      <c r="C91" s="218">
        <v>152.42</v>
      </c>
      <c r="D91" s="66"/>
      <c r="E91" s="66">
        <v>1749.67592</v>
      </c>
      <c r="F91" s="85"/>
      <c r="G91" s="251">
        <f t="shared" si="21"/>
        <v>1749.67592</v>
      </c>
      <c r="H91" s="97">
        <f t="shared" si="15"/>
        <v>0</v>
      </c>
      <c r="I91" s="98">
        <f t="shared" si="10"/>
        <v>2.0979299152748148</v>
      </c>
      <c r="J91" s="85"/>
      <c r="K91" s="250">
        <v>568</v>
      </c>
      <c r="L91" s="69" t="e">
        <f t="shared" si="18"/>
        <v>#DIV/0!</v>
      </c>
      <c r="M91" s="69">
        <f t="shared" si="19"/>
        <v>0.3246315466237885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</row>
    <row r="92" spans="1:36" ht="34.5" customHeight="1">
      <c r="A92" s="216" t="s">
        <v>238</v>
      </c>
      <c r="B92" s="218">
        <v>0</v>
      </c>
      <c r="C92" s="218">
        <v>0</v>
      </c>
      <c r="D92" s="66"/>
      <c r="E92" s="66">
        <v>0</v>
      </c>
      <c r="F92" s="85"/>
      <c r="G92" s="251">
        <f t="shared" si="21"/>
        <v>0</v>
      </c>
      <c r="H92" s="97">
        <f t="shared" si="15"/>
        <v>0</v>
      </c>
      <c r="I92" s="98" t="e">
        <f t="shared" si="10"/>
        <v>#DIV/0!</v>
      </c>
      <c r="J92" s="85"/>
      <c r="K92" s="250">
        <v>0</v>
      </c>
      <c r="L92" s="69" t="e">
        <f t="shared" si="18"/>
        <v>#DIV/0!</v>
      </c>
      <c r="M92" s="69" t="e">
        <f t="shared" si="19"/>
        <v>#DIV/0!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</row>
    <row r="93" spans="1:36" ht="34.5" customHeight="1">
      <c r="A93" s="216" t="s">
        <v>239</v>
      </c>
      <c r="B93" s="218">
        <v>0</v>
      </c>
      <c r="C93" s="218">
        <v>0</v>
      </c>
      <c r="D93" s="66"/>
      <c r="E93" s="66">
        <v>0</v>
      </c>
      <c r="F93" s="85"/>
      <c r="G93" s="251">
        <f t="shared" si="21"/>
        <v>0</v>
      </c>
      <c r="H93" s="97">
        <f t="shared" si="15"/>
        <v>0</v>
      </c>
      <c r="I93" s="98" t="e">
        <f t="shared" si="10"/>
        <v>#DIV/0!</v>
      </c>
      <c r="J93" s="85"/>
      <c r="K93" s="250">
        <v>0</v>
      </c>
      <c r="L93" s="69" t="e">
        <f t="shared" si="18"/>
        <v>#DIV/0!</v>
      </c>
      <c r="M93" s="69" t="e">
        <f t="shared" si="19"/>
        <v>#DIV/0!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</row>
    <row r="94" spans="1:36" ht="34.5" customHeight="1">
      <c r="A94" s="216" t="s">
        <v>240</v>
      </c>
      <c r="B94" s="218">
        <v>0</v>
      </c>
      <c r="C94" s="218">
        <v>0</v>
      </c>
      <c r="D94" s="66"/>
      <c r="E94" s="66">
        <v>0</v>
      </c>
      <c r="F94" s="85"/>
      <c r="G94" s="251">
        <f t="shared" si="21"/>
        <v>0</v>
      </c>
      <c r="H94" s="97">
        <f t="shared" si="15"/>
        <v>0</v>
      </c>
      <c r="I94" s="98" t="e">
        <f t="shared" si="10"/>
        <v>#DIV/0!</v>
      </c>
      <c r="J94" s="85"/>
      <c r="K94" s="250">
        <v>0</v>
      </c>
      <c r="L94" s="69" t="e">
        <f t="shared" si="18"/>
        <v>#DIV/0!</v>
      </c>
      <c r="M94" s="69" t="e">
        <f t="shared" si="19"/>
        <v>#DIV/0!</v>
      </c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</row>
    <row r="95" spans="1:36" ht="34.5" customHeight="1">
      <c r="A95" s="216" t="s">
        <v>241</v>
      </c>
      <c r="B95" s="218">
        <v>0</v>
      </c>
      <c r="C95" s="218">
        <v>0</v>
      </c>
      <c r="D95" s="66"/>
      <c r="E95" s="66">
        <v>0</v>
      </c>
      <c r="F95" s="85"/>
      <c r="G95" s="251">
        <f t="shared" si="21"/>
        <v>0</v>
      </c>
      <c r="H95" s="97">
        <f t="shared" si="15"/>
        <v>0</v>
      </c>
      <c r="I95" s="98" t="e">
        <f t="shared" si="10"/>
        <v>#DIV/0!</v>
      </c>
      <c r="J95" s="85"/>
      <c r="K95" s="250">
        <v>0</v>
      </c>
      <c r="L95" s="69" t="e">
        <f t="shared" si="18"/>
        <v>#DIV/0!</v>
      </c>
      <c r="M95" s="69" t="e">
        <f t="shared" si="19"/>
        <v>#DIV/0!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</row>
    <row r="96" spans="1:36" ht="34.5" customHeight="1">
      <c r="A96" s="216" t="s">
        <v>242</v>
      </c>
      <c r="B96" s="218">
        <v>0</v>
      </c>
      <c r="C96" s="218">
        <v>0</v>
      </c>
      <c r="D96" s="66"/>
      <c r="E96" s="66">
        <v>0</v>
      </c>
      <c r="F96" s="85"/>
      <c r="G96" s="251">
        <f t="shared" si="21"/>
        <v>0</v>
      </c>
      <c r="H96" s="97">
        <f t="shared" si="15"/>
        <v>0</v>
      </c>
      <c r="I96" s="98" t="e">
        <f t="shared" si="10"/>
        <v>#DIV/0!</v>
      </c>
      <c r="J96" s="85"/>
      <c r="K96" s="250">
        <v>0</v>
      </c>
      <c r="L96" s="69" t="e">
        <f t="shared" si="18"/>
        <v>#DIV/0!</v>
      </c>
      <c r="M96" s="69" t="e">
        <f t="shared" si="19"/>
        <v>#DIV/0!</v>
      </c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</row>
    <row r="97" spans="1:36" ht="34.5" customHeight="1">
      <c r="A97" s="216" t="s">
        <v>243</v>
      </c>
      <c r="B97" s="218">
        <v>1.64998</v>
      </c>
      <c r="C97" s="218">
        <v>0</v>
      </c>
      <c r="D97" s="66"/>
      <c r="E97" s="66">
        <v>41.43295</v>
      </c>
      <c r="F97" s="85"/>
      <c r="G97" s="251">
        <f t="shared" si="21"/>
        <v>41.43295</v>
      </c>
      <c r="H97" s="97">
        <f t="shared" si="15"/>
        <v>0</v>
      </c>
      <c r="I97" s="98">
        <f t="shared" si="10"/>
        <v>25.111183165856556</v>
      </c>
      <c r="J97" s="85"/>
      <c r="K97" s="250">
        <v>0</v>
      </c>
      <c r="L97" s="69" t="e">
        <f t="shared" si="18"/>
        <v>#DIV/0!</v>
      </c>
      <c r="M97" s="69">
        <f t="shared" si="19"/>
        <v>0</v>
      </c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</row>
    <row r="98" spans="1:36" ht="34.5" customHeight="1">
      <c r="A98" s="216" t="s">
        <v>244</v>
      </c>
      <c r="B98" s="218">
        <v>0</v>
      </c>
      <c r="C98" s="218">
        <v>25</v>
      </c>
      <c r="D98" s="66"/>
      <c r="E98" s="66">
        <v>25</v>
      </c>
      <c r="F98" s="85"/>
      <c r="G98" s="251">
        <f t="shared" si="21"/>
        <v>25</v>
      </c>
      <c r="H98" s="97">
        <f t="shared" si="15"/>
        <v>0</v>
      </c>
      <c r="I98" s="98" t="e">
        <f t="shared" si="10"/>
        <v>#DIV/0!</v>
      </c>
      <c r="J98" s="85"/>
      <c r="K98" s="250">
        <v>25</v>
      </c>
      <c r="L98" s="69" t="e">
        <f t="shared" si="18"/>
        <v>#DIV/0!</v>
      </c>
      <c r="M98" s="69">
        <f t="shared" si="19"/>
        <v>1</v>
      </c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</row>
    <row r="99" spans="1:36" ht="18.75" customHeight="1">
      <c r="A99" s="103" t="s">
        <v>123</v>
      </c>
      <c r="B99" s="104">
        <v>3591.22</v>
      </c>
      <c r="C99" s="105">
        <v>4464.36</v>
      </c>
      <c r="D99" s="105"/>
      <c r="E99" s="105">
        <v>6206.485</v>
      </c>
      <c r="F99" s="106"/>
      <c r="G99" s="105">
        <f>E99</f>
        <v>6206.485</v>
      </c>
      <c r="H99" s="107">
        <f t="shared" si="15"/>
        <v>0</v>
      </c>
      <c r="I99" s="108">
        <f t="shared" si="10"/>
        <v>1.7282385930129593</v>
      </c>
      <c r="J99" s="106"/>
      <c r="K99" s="106">
        <v>5358</v>
      </c>
      <c r="L99" s="109" t="e">
        <f t="shared" si="18"/>
        <v>#DIV/0!</v>
      </c>
      <c r="M99" s="109">
        <f t="shared" si="19"/>
        <v>0.8632905742944679</v>
      </c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</row>
    <row r="100" spans="1:36" ht="33.75" customHeight="1">
      <c r="A100" s="103" t="s">
        <v>202</v>
      </c>
      <c r="B100" s="104">
        <v>0</v>
      </c>
      <c r="C100" s="105">
        <v>0</v>
      </c>
      <c r="D100" s="105"/>
      <c r="E100" s="105">
        <v>0</v>
      </c>
      <c r="F100" s="106"/>
      <c r="G100" s="105">
        <v>0</v>
      </c>
      <c r="H100" s="107">
        <f>G100-E100</f>
        <v>0</v>
      </c>
      <c r="I100" s="108" t="e">
        <f>G100/B100</f>
        <v>#DIV/0!</v>
      </c>
      <c r="J100" s="106">
        <v>0</v>
      </c>
      <c r="K100" s="106">
        <v>0</v>
      </c>
      <c r="L100" s="109" t="e">
        <f t="shared" si="18"/>
        <v>#DIV/0!</v>
      </c>
      <c r="M100" s="109" t="e">
        <f t="shared" si="19"/>
        <v>#DIV/0!</v>
      </c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</row>
    <row r="101" spans="1:36" ht="22.5" customHeight="1">
      <c r="A101" s="52" t="s">
        <v>15</v>
      </c>
      <c r="B101" s="53">
        <f>B7-B39</f>
        <v>-4925.799570000003</v>
      </c>
      <c r="C101" s="53">
        <f>C7-C39</f>
        <v>0.0029999999824212864</v>
      </c>
      <c r="D101" s="53"/>
      <c r="E101" s="53">
        <f>E7-E39</f>
        <v>-14476.215320000003</v>
      </c>
      <c r="F101" s="53">
        <f>F7-F39</f>
        <v>0</v>
      </c>
      <c r="G101" s="53">
        <f>G7-G39</f>
        <v>-15025.755319999997</v>
      </c>
      <c r="H101" s="53"/>
      <c r="I101" s="53"/>
      <c r="J101" s="53">
        <f>J7-J39</f>
        <v>0</v>
      </c>
      <c r="K101" s="53">
        <f>K7-K39</f>
        <v>-172733.74000000002</v>
      </c>
      <c r="L101" s="112"/>
      <c r="M101" s="112"/>
      <c r="N101" s="113"/>
      <c r="O101" s="113"/>
      <c r="P101" s="113"/>
      <c r="Q101" s="113"/>
      <c r="R101" s="113"/>
      <c r="S101" s="113"/>
      <c r="T101" s="113"/>
      <c r="U101" s="113"/>
      <c r="V101" s="113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</row>
    <row r="102" spans="1:13" s="115" customFormat="1" ht="17.25" customHeight="1">
      <c r="A102" s="93" t="s">
        <v>24</v>
      </c>
      <c r="B102" s="85">
        <f>(B101-B104)/(B8-B28)</f>
        <v>-0.17082651247958228</v>
      </c>
      <c r="C102" s="85">
        <f>(C101-C104)/(C8-C28)</f>
        <v>1.0760517446103388E-07</v>
      </c>
      <c r="D102" s="67" t="s">
        <v>3</v>
      </c>
      <c r="E102" s="85">
        <f>(E101-E104)/(E8-E28)</f>
        <v>-0.5192385613905459</v>
      </c>
      <c r="F102" s="85" t="e">
        <f>(F101-F104)/(F8-F28)</f>
        <v>#DIV/0!</v>
      </c>
      <c r="G102" s="85">
        <f>(G101-G104)/(G8-G28)</f>
        <v>-0.5497865844912725</v>
      </c>
      <c r="H102" s="85"/>
      <c r="I102" s="85"/>
      <c r="J102" s="85" t="e">
        <f>(J101-J104)/(J8-J28)</f>
        <v>#DIV/0!</v>
      </c>
      <c r="K102" s="85">
        <f>(K101-K104)/(K8-K28)</f>
        <v>-6.1177906870491805</v>
      </c>
      <c r="L102" s="114"/>
      <c r="M102" s="114"/>
    </row>
    <row r="103" spans="1:13" ht="24" customHeight="1">
      <c r="A103" s="52" t="s">
        <v>25</v>
      </c>
      <c r="B103" s="53">
        <f>-B101</f>
        <v>4925.799570000003</v>
      </c>
      <c r="C103" s="53">
        <f>C104+C107+C108+C109+C110</f>
        <v>0</v>
      </c>
      <c r="D103" s="53"/>
      <c r="E103" s="53">
        <f>-E101</f>
        <v>14476.215320000003</v>
      </c>
      <c r="F103" s="53">
        <f>F104+F107+F108+F109+F110</f>
        <v>0</v>
      </c>
      <c r="G103" s="53">
        <f>-G101</f>
        <v>15025.755319999997</v>
      </c>
      <c r="H103" s="53"/>
      <c r="I103" s="53"/>
      <c r="J103" s="53">
        <f>-J101</f>
        <v>0</v>
      </c>
      <c r="K103" s="53">
        <f>-K101</f>
        <v>172733.74000000002</v>
      </c>
      <c r="L103" s="112"/>
      <c r="M103" s="116"/>
    </row>
    <row r="104" spans="1:13" ht="17.25" customHeight="1">
      <c r="A104" s="64" t="s">
        <v>26</v>
      </c>
      <c r="B104" s="65"/>
      <c r="C104" s="66"/>
      <c r="D104" s="66"/>
      <c r="E104" s="65"/>
      <c r="F104" s="66"/>
      <c r="G104" s="65"/>
      <c r="H104" s="66"/>
      <c r="I104" s="66"/>
      <c r="J104" s="65"/>
      <c r="K104" s="65"/>
      <c r="L104" s="117"/>
      <c r="M104" s="117"/>
    </row>
    <row r="105" spans="1:13" ht="17.25" customHeight="1">
      <c r="A105" s="64" t="s">
        <v>139</v>
      </c>
      <c r="B105" s="65"/>
      <c r="C105" s="66"/>
      <c r="D105" s="66"/>
      <c r="E105" s="65"/>
      <c r="F105" s="66"/>
      <c r="G105" s="65"/>
      <c r="H105" s="66"/>
      <c r="I105" s="66"/>
      <c r="J105" s="65"/>
      <c r="K105" s="65"/>
      <c r="L105" s="117"/>
      <c r="M105" s="117"/>
    </row>
    <row r="106" spans="1:13" ht="36" customHeight="1">
      <c r="A106" s="64" t="s">
        <v>147</v>
      </c>
      <c r="B106" s="65">
        <f>B103</f>
        <v>4925.799570000003</v>
      </c>
      <c r="C106" s="66"/>
      <c r="D106" s="66"/>
      <c r="E106" s="65">
        <f>E103</f>
        <v>14476.215320000003</v>
      </c>
      <c r="F106" s="66"/>
      <c r="G106" s="65">
        <f>G103</f>
        <v>15025.755319999997</v>
      </c>
      <c r="H106" s="66"/>
      <c r="I106" s="66"/>
      <c r="J106" s="65">
        <f>J103</f>
        <v>0</v>
      </c>
      <c r="K106" s="65">
        <f>K103</f>
        <v>172733.74000000002</v>
      </c>
      <c r="L106" s="117"/>
      <c r="M106" s="117"/>
    </row>
    <row r="107" spans="1:13" ht="14.25" customHeight="1">
      <c r="A107" s="118" t="s">
        <v>27</v>
      </c>
      <c r="B107" s="119"/>
      <c r="C107" s="120"/>
      <c r="D107" s="120"/>
      <c r="E107" s="120"/>
      <c r="F107" s="66"/>
      <c r="G107" s="120"/>
      <c r="H107" s="120"/>
      <c r="I107" s="66"/>
      <c r="J107" s="66"/>
      <c r="K107" s="66"/>
      <c r="L107" s="117"/>
      <c r="M107" s="117"/>
    </row>
    <row r="108" spans="1:13" ht="14.25" customHeight="1">
      <c r="A108" s="118" t="s">
        <v>28</v>
      </c>
      <c r="B108" s="119"/>
      <c r="C108" s="120"/>
      <c r="D108" s="120"/>
      <c r="E108" s="120"/>
      <c r="F108" s="66"/>
      <c r="G108" s="66"/>
      <c r="H108" s="66"/>
      <c r="I108" s="66"/>
      <c r="J108" s="66"/>
      <c r="K108" s="66"/>
      <c r="L108" s="117"/>
      <c r="M108" s="117"/>
    </row>
    <row r="109" spans="1:13" ht="14.25" customHeight="1">
      <c r="A109" s="118" t="s">
        <v>29</v>
      </c>
      <c r="B109" s="119"/>
      <c r="C109" s="120"/>
      <c r="D109" s="120"/>
      <c r="E109" s="120"/>
      <c r="F109" s="66"/>
      <c r="G109" s="66"/>
      <c r="H109" s="66"/>
      <c r="I109" s="66"/>
      <c r="J109" s="66"/>
      <c r="K109" s="66"/>
      <c r="L109" s="117"/>
      <c r="M109" s="117"/>
    </row>
    <row r="110" spans="1:13" ht="36" customHeight="1">
      <c r="A110" s="118" t="s">
        <v>30</v>
      </c>
      <c r="B110" s="121"/>
      <c r="C110" s="120"/>
      <c r="D110" s="122"/>
      <c r="E110" s="122"/>
      <c r="F110" s="122"/>
      <c r="G110" s="122"/>
      <c r="H110" s="122"/>
      <c r="I110" s="66"/>
      <c r="J110" s="66"/>
      <c r="K110" s="66"/>
      <c r="L110" s="117"/>
      <c r="M110" s="117"/>
    </row>
    <row r="111" spans="1:13" ht="15" customHeight="1">
      <c r="A111" s="52" t="s">
        <v>31</v>
      </c>
      <c r="B111" s="103">
        <v>0</v>
      </c>
      <c r="C111" s="54">
        <v>0</v>
      </c>
      <c r="D111" s="53"/>
      <c r="E111" s="53"/>
      <c r="F111" s="54"/>
      <c r="G111" s="53"/>
      <c r="H111" s="53"/>
      <c r="I111" s="54"/>
      <c r="J111" s="53"/>
      <c r="K111" s="53"/>
      <c r="L111" s="112"/>
      <c r="M111" s="116"/>
    </row>
    <row r="112" spans="1:13" s="99" customFormat="1" ht="15" customHeight="1">
      <c r="A112" s="123" t="s">
        <v>20</v>
      </c>
      <c r="B112" s="124"/>
      <c r="C112" s="125"/>
      <c r="D112" s="126"/>
      <c r="E112" s="126"/>
      <c r="F112" s="125"/>
      <c r="G112" s="126"/>
      <c r="H112" s="126"/>
      <c r="I112" s="125"/>
      <c r="J112" s="126"/>
      <c r="K112" s="126"/>
      <c r="L112" s="127"/>
      <c r="M112" s="128"/>
    </row>
    <row r="113" spans="1:13" ht="32.25" customHeight="1">
      <c r="A113" s="52" t="s">
        <v>200</v>
      </c>
      <c r="B113" s="254">
        <v>2.938</v>
      </c>
      <c r="C113" s="254"/>
      <c r="D113" s="254"/>
      <c r="E113" s="254">
        <v>2.946</v>
      </c>
      <c r="F113" s="254"/>
      <c r="G113" s="254">
        <v>2.95</v>
      </c>
      <c r="H113" s="254">
        <f>G113-E113</f>
        <v>0.0040000000000000036</v>
      </c>
      <c r="I113" s="254"/>
      <c r="J113" s="254"/>
      <c r="K113" s="254">
        <v>2.9</v>
      </c>
      <c r="L113" s="254"/>
      <c r="M113" s="254"/>
    </row>
    <row r="114" spans="1:13" ht="15" customHeight="1">
      <c r="A114" s="52" t="s">
        <v>32</v>
      </c>
      <c r="B114" s="175">
        <f aca="true" t="shared" si="22" ref="B114:G114">B7/B113</f>
        <v>33808.6647038802</v>
      </c>
      <c r="C114" s="103" t="e">
        <f t="shared" si="22"/>
        <v>#DIV/0!</v>
      </c>
      <c r="D114" s="103" t="e">
        <f t="shared" si="22"/>
        <v>#VALUE!</v>
      </c>
      <c r="E114" s="103">
        <f t="shared" si="22"/>
        <v>38682.30395112016</v>
      </c>
      <c r="F114" s="103" t="e">
        <f t="shared" si="22"/>
        <v>#DIV/0!</v>
      </c>
      <c r="G114" s="103">
        <f t="shared" si="22"/>
        <v>38443.56862372881</v>
      </c>
      <c r="H114" s="103"/>
      <c r="I114" s="103"/>
      <c r="J114" s="103" t="e">
        <f>J7/J113</f>
        <v>#DIV/0!</v>
      </c>
      <c r="K114" s="103">
        <f>K7/K113</f>
        <v>24459.33103448276</v>
      </c>
      <c r="L114" s="103"/>
      <c r="M114" s="103"/>
    </row>
    <row r="115" spans="1:13" ht="15" customHeight="1">
      <c r="A115" s="52" t="s">
        <v>33</v>
      </c>
      <c r="B115" s="175">
        <f aca="true" t="shared" si="23" ref="B115:G115">B39/B113</f>
        <v>35485.2472668482</v>
      </c>
      <c r="C115" s="103" t="e">
        <f t="shared" si="23"/>
        <v>#DIV/0!</v>
      </c>
      <c r="D115" s="103" t="e">
        <f t="shared" si="23"/>
        <v>#DIV/0!</v>
      </c>
      <c r="E115" s="103">
        <f t="shared" si="23"/>
        <v>43596.15843856076</v>
      </c>
      <c r="F115" s="103" t="e">
        <f t="shared" si="23"/>
        <v>#DIV/0!</v>
      </c>
      <c r="G115" s="103">
        <f t="shared" si="23"/>
        <v>43537.04500338982</v>
      </c>
      <c r="H115" s="103"/>
      <c r="I115" s="103"/>
      <c r="J115" s="103" t="e">
        <f>J39/J113</f>
        <v>#DIV/0!</v>
      </c>
      <c r="K115" s="103">
        <f>K39/K113</f>
        <v>84022.68965517242</v>
      </c>
      <c r="L115" s="103"/>
      <c r="M115" s="103"/>
    </row>
    <row r="116" spans="1:13" ht="51.75" customHeight="1">
      <c r="A116" s="52" t="s">
        <v>34</v>
      </c>
      <c r="B116" s="103">
        <v>78.8</v>
      </c>
      <c r="C116" s="129"/>
      <c r="D116" s="130"/>
      <c r="E116" s="130">
        <v>78.8</v>
      </c>
      <c r="F116" s="131"/>
      <c r="G116" s="130"/>
      <c r="H116" s="130"/>
      <c r="I116" s="132"/>
      <c r="J116" s="116"/>
      <c r="K116" s="116">
        <v>78.8</v>
      </c>
      <c r="L116" s="112"/>
      <c r="M116" s="116"/>
    </row>
    <row r="117" spans="1:13" ht="34.5" customHeight="1">
      <c r="A117" s="52" t="s">
        <v>35</v>
      </c>
      <c r="B117" s="133">
        <v>36.5</v>
      </c>
      <c r="C117" s="129">
        <v>36.5</v>
      </c>
      <c r="D117" s="130"/>
      <c r="E117" s="130">
        <v>36.5</v>
      </c>
      <c r="F117" s="131">
        <v>36.5</v>
      </c>
      <c r="G117" s="130"/>
      <c r="H117" s="130"/>
      <c r="I117" s="132"/>
      <c r="J117" s="116"/>
      <c r="K117" s="116">
        <v>36.5</v>
      </c>
      <c r="L117" s="112"/>
      <c r="M117" s="116"/>
    </row>
    <row r="118" spans="1:13" ht="36.75" customHeight="1">
      <c r="A118" s="52" t="s">
        <v>36</v>
      </c>
      <c r="B118" s="133">
        <v>10</v>
      </c>
      <c r="C118" s="129">
        <v>10</v>
      </c>
      <c r="D118" s="129"/>
      <c r="E118" s="129">
        <v>10</v>
      </c>
      <c r="F118" s="129">
        <v>10</v>
      </c>
      <c r="G118" s="129"/>
      <c r="H118" s="129"/>
      <c r="I118" s="132"/>
      <c r="J118" s="116"/>
      <c r="K118" s="116">
        <v>11</v>
      </c>
      <c r="L118" s="112"/>
      <c r="M118" s="116"/>
    </row>
    <row r="119" spans="1:13" ht="18.75">
      <c r="A119" s="167" t="s">
        <v>113</v>
      </c>
      <c r="B119" s="168"/>
      <c r="C119" s="168"/>
      <c r="D119" s="168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2" ht="19.5" customHeight="1">
      <c r="A120" s="36"/>
      <c r="B120" s="36"/>
    </row>
    <row r="121" spans="1:13" ht="18" customHeight="1">
      <c r="A121" s="14" t="s">
        <v>217</v>
      </c>
      <c r="B121" s="36"/>
      <c r="F121" s="134"/>
      <c r="G121" s="134"/>
      <c r="H121" s="134"/>
      <c r="I121" s="134"/>
      <c r="J121" s="134"/>
      <c r="K121" s="134"/>
      <c r="L121" s="134"/>
      <c r="M121" s="134"/>
    </row>
  </sheetData>
  <sheetProtection/>
  <mergeCells count="11">
    <mergeCell ref="I4:I5"/>
    <mergeCell ref="A2:M2"/>
    <mergeCell ref="A4:A5"/>
    <mergeCell ref="B4:B5"/>
    <mergeCell ref="C4:C5"/>
    <mergeCell ref="E4:E5"/>
    <mergeCell ref="D4:D5"/>
    <mergeCell ref="F4:G5"/>
    <mergeCell ref="J4:K5"/>
    <mergeCell ref="L4:M5"/>
    <mergeCell ref="H4:H5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H81" sqref="H81"/>
    </sheetView>
  </sheetViews>
  <sheetFormatPr defaultColWidth="9.00390625" defaultRowHeight="12.75"/>
  <cols>
    <col min="1" max="1" width="44.25390625" style="176" customWidth="1"/>
    <col min="2" max="2" width="13.375" style="176" customWidth="1"/>
    <col min="3" max="3" width="10.75390625" style="176" bestFit="1" customWidth="1"/>
    <col min="4" max="4" width="13.75390625" style="176" bestFit="1" customWidth="1"/>
    <col min="5" max="5" width="14.00390625" style="176" customWidth="1"/>
    <col min="6" max="6" width="15.875" style="176" customWidth="1"/>
    <col min="7" max="7" width="11.875" style="176" bestFit="1" customWidth="1"/>
    <col min="8" max="8" width="13.125" style="176" bestFit="1" customWidth="1"/>
    <col min="9" max="9" width="14.25390625" style="176" bestFit="1" customWidth="1"/>
    <col min="10" max="10" width="13.125" style="176" customWidth="1"/>
    <col min="11" max="11" width="10.75390625" style="176" bestFit="1" customWidth="1"/>
    <col min="12" max="12" width="16.00390625" style="176" bestFit="1" customWidth="1"/>
    <col min="13" max="13" width="10.75390625" style="176" bestFit="1" customWidth="1"/>
    <col min="14" max="16384" width="9.125" style="176" customWidth="1"/>
  </cols>
  <sheetData>
    <row r="1" spans="8:12" ht="14.25">
      <c r="H1" s="171"/>
      <c r="L1" s="171" t="s">
        <v>172</v>
      </c>
    </row>
    <row r="3" spans="1:13" ht="20.25">
      <c r="A3" s="325" t="s">
        <v>177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5" spans="1:13" ht="14.25" customHeight="1">
      <c r="A5" s="322"/>
      <c r="B5" s="326" t="s">
        <v>173</v>
      </c>
      <c r="C5" s="327"/>
      <c r="D5" s="327"/>
      <c r="E5" s="328"/>
      <c r="F5" s="332" t="s">
        <v>176</v>
      </c>
      <c r="G5" s="333"/>
      <c r="H5" s="333"/>
      <c r="I5" s="333"/>
      <c r="J5" s="333"/>
      <c r="K5" s="333"/>
      <c r="L5" s="333"/>
      <c r="M5" s="334"/>
    </row>
    <row r="6" spans="1:13" ht="17.25" customHeight="1">
      <c r="A6" s="323"/>
      <c r="B6" s="329"/>
      <c r="C6" s="330"/>
      <c r="D6" s="330"/>
      <c r="E6" s="331"/>
      <c r="F6" s="335" t="s">
        <v>174</v>
      </c>
      <c r="G6" s="336"/>
      <c r="H6" s="336"/>
      <c r="I6" s="337"/>
      <c r="J6" s="335" t="s">
        <v>175</v>
      </c>
      <c r="K6" s="336"/>
      <c r="L6" s="336"/>
      <c r="M6" s="337"/>
    </row>
    <row r="7" spans="1:13" ht="15">
      <c r="A7" s="324"/>
      <c r="B7" s="197" t="s">
        <v>171</v>
      </c>
      <c r="C7" s="192" t="s">
        <v>82</v>
      </c>
      <c r="D7" s="192" t="s">
        <v>83</v>
      </c>
      <c r="E7" s="193" t="s">
        <v>84</v>
      </c>
      <c r="F7" s="194" t="s">
        <v>171</v>
      </c>
      <c r="G7" s="192" t="s">
        <v>82</v>
      </c>
      <c r="H7" s="192" t="s">
        <v>83</v>
      </c>
      <c r="I7" s="193" t="s">
        <v>84</v>
      </c>
      <c r="J7" s="194" t="s">
        <v>171</v>
      </c>
      <c r="K7" s="192" t="s">
        <v>82</v>
      </c>
      <c r="L7" s="192" t="s">
        <v>83</v>
      </c>
      <c r="M7" s="193" t="s">
        <v>84</v>
      </c>
    </row>
    <row r="8" spans="1:13" s="178" customFormat="1" ht="15">
      <c r="A8" s="200" t="s">
        <v>148</v>
      </c>
      <c r="B8" s="230">
        <f>SUM(C8:E8)</f>
        <v>42180.96459</v>
      </c>
      <c r="C8" s="191">
        <f>C10+C11+C14+C15+C17+C13</f>
        <v>39.4772</v>
      </c>
      <c r="D8" s="191">
        <f>D10+D11+D14+D15+D17+D13</f>
        <v>4436.09753</v>
      </c>
      <c r="E8" s="191">
        <f>E10+E11+E14+E15+E17+E13</f>
        <v>37705.38986</v>
      </c>
      <c r="F8" s="234">
        <f aca="true" t="shared" si="0" ref="F8:F71">SUM(G8:I8)</f>
        <v>49990.635440000005</v>
      </c>
      <c r="G8" s="235">
        <f>G10+G11+G13+G17</f>
        <v>20.7</v>
      </c>
      <c r="H8" s="235">
        <f>H10+H11+H13+H17</f>
        <v>5441.7</v>
      </c>
      <c r="I8" s="235">
        <f>I10+I11+I13+I17</f>
        <v>44528.235440000004</v>
      </c>
      <c r="J8" s="234">
        <f>SUM(K8:M8)</f>
        <v>24906.08294</v>
      </c>
      <c r="K8" s="235">
        <f>K10+K11+K13+K17</f>
        <v>0</v>
      </c>
      <c r="L8" s="235">
        <f>L10+L11+L13+L17</f>
        <v>1751.92425</v>
      </c>
      <c r="M8" s="235">
        <f>M10+M11+M13+M17</f>
        <v>23154.15869</v>
      </c>
    </row>
    <row r="9" spans="1:13" s="180" customFormat="1" ht="14.25">
      <c r="A9" s="201" t="s">
        <v>161</v>
      </c>
      <c r="B9" s="198"/>
      <c r="C9" s="179"/>
      <c r="D9" s="179"/>
      <c r="E9" s="186"/>
      <c r="F9" s="195"/>
      <c r="G9" s="179"/>
      <c r="H9" s="179"/>
      <c r="I9" s="186"/>
      <c r="J9" s="195"/>
      <c r="K9" s="179"/>
      <c r="L9" s="179"/>
      <c r="M9" s="186"/>
    </row>
    <row r="10" spans="1:13" ht="14.25">
      <c r="A10" s="202" t="s">
        <v>163</v>
      </c>
      <c r="B10" s="198">
        <f aca="true" t="shared" si="1" ref="B10:B88">SUM(C10:E10)</f>
        <v>32386.15425</v>
      </c>
      <c r="C10" s="181">
        <v>0</v>
      </c>
      <c r="D10" s="181">
        <v>3261.83309</v>
      </c>
      <c r="E10" s="187">
        <v>29124.32116</v>
      </c>
      <c r="F10" s="195">
        <f t="shared" si="0"/>
        <v>38909.5369</v>
      </c>
      <c r="G10" s="181">
        <v>0</v>
      </c>
      <c r="H10" s="181">
        <v>4648.075</v>
      </c>
      <c r="I10" s="187">
        <v>34261.4619</v>
      </c>
      <c r="J10" s="195">
        <f aca="true" t="shared" si="2" ref="J10:J88">SUM(K10:M10)</f>
        <v>20586.62726</v>
      </c>
      <c r="K10" s="181">
        <v>0</v>
      </c>
      <c r="L10" s="181">
        <v>1202.84111</v>
      </c>
      <c r="M10" s="187">
        <v>19383.78615</v>
      </c>
    </row>
    <row r="11" spans="1:13" ht="14.25">
      <c r="A11" s="202" t="s">
        <v>164</v>
      </c>
      <c r="B11" s="198">
        <f t="shared" si="1"/>
        <v>8515.02814</v>
      </c>
      <c r="C11" s="181">
        <v>39.4772</v>
      </c>
      <c r="D11" s="181">
        <v>1174.26444</v>
      </c>
      <c r="E11" s="187">
        <v>7301.2865</v>
      </c>
      <c r="F11" s="195">
        <f t="shared" si="0"/>
        <v>8652.1141</v>
      </c>
      <c r="G11" s="181">
        <v>20.7</v>
      </c>
      <c r="H11" s="181">
        <v>793.625</v>
      </c>
      <c r="I11" s="187">
        <v>7837.7891</v>
      </c>
      <c r="J11" s="195">
        <f t="shared" si="2"/>
        <v>3744.22706</v>
      </c>
      <c r="K11" s="181">
        <v>0</v>
      </c>
      <c r="L11" s="181">
        <v>549.08314</v>
      </c>
      <c r="M11" s="187">
        <v>3195.14392</v>
      </c>
    </row>
    <row r="12" spans="1:13" s="180" customFormat="1" ht="14.25">
      <c r="A12" s="201" t="s">
        <v>162</v>
      </c>
      <c r="B12" s="198">
        <f t="shared" si="1"/>
        <v>0</v>
      </c>
      <c r="C12" s="179">
        <v>0</v>
      </c>
      <c r="D12" s="179">
        <v>0</v>
      </c>
      <c r="E12" s="186">
        <v>0</v>
      </c>
      <c r="F12" s="195">
        <f t="shared" si="0"/>
        <v>0</v>
      </c>
      <c r="G12" s="179">
        <v>0</v>
      </c>
      <c r="H12" s="179">
        <v>0</v>
      </c>
      <c r="I12" s="186">
        <v>0</v>
      </c>
      <c r="J12" s="195">
        <f t="shared" si="2"/>
        <v>0</v>
      </c>
      <c r="K12" s="179">
        <v>0</v>
      </c>
      <c r="L12" s="179">
        <v>0</v>
      </c>
      <c r="M12" s="186">
        <v>0</v>
      </c>
    </row>
    <row r="13" spans="1:13" ht="14.25">
      <c r="A13" s="202" t="s">
        <v>165</v>
      </c>
      <c r="B13" s="198">
        <f t="shared" si="1"/>
        <v>84.9</v>
      </c>
      <c r="C13" s="181">
        <v>0</v>
      </c>
      <c r="D13" s="181">
        <v>0</v>
      </c>
      <c r="E13" s="187">
        <v>84.9</v>
      </c>
      <c r="F13" s="195">
        <f t="shared" si="0"/>
        <v>209.2</v>
      </c>
      <c r="G13" s="181">
        <v>0</v>
      </c>
      <c r="H13" s="181">
        <v>0</v>
      </c>
      <c r="I13" s="187">
        <v>209.2</v>
      </c>
      <c r="J13" s="195">
        <f t="shared" si="2"/>
        <v>44.2</v>
      </c>
      <c r="K13" s="181">
        <v>0</v>
      </c>
      <c r="L13" s="181">
        <v>0</v>
      </c>
      <c r="M13" s="187">
        <v>44.2</v>
      </c>
    </row>
    <row r="14" spans="1:13" ht="14.25" hidden="1">
      <c r="A14" s="202" t="s">
        <v>166</v>
      </c>
      <c r="B14" s="198">
        <f t="shared" si="1"/>
        <v>0</v>
      </c>
      <c r="C14" s="181"/>
      <c r="D14" s="181"/>
      <c r="E14" s="187"/>
      <c r="F14" s="195">
        <f t="shared" si="0"/>
        <v>0</v>
      </c>
      <c r="G14" s="181"/>
      <c r="H14" s="181"/>
      <c r="I14" s="187"/>
      <c r="J14" s="195">
        <f t="shared" si="2"/>
        <v>0</v>
      </c>
      <c r="K14" s="181"/>
      <c r="L14" s="181"/>
      <c r="M14" s="187"/>
    </row>
    <row r="15" spans="1:13" ht="14.25" hidden="1">
      <c r="A15" s="202" t="s">
        <v>167</v>
      </c>
      <c r="B15" s="198">
        <f t="shared" si="1"/>
        <v>0</v>
      </c>
      <c r="C15" s="181"/>
      <c r="D15" s="181"/>
      <c r="E15" s="187"/>
      <c r="F15" s="195">
        <f t="shared" si="0"/>
        <v>0</v>
      </c>
      <c r="G15" s="181"/>
      <c r="H15" s="181"/>
      <c r="I15" s="187"/>
      <c r="J15" s="195">
        <f t="shared" si="2"/>
        <v>0</v>
      </c>
      <c r="K15" s="181"/>
      <c r="L15" s="181"/>
      <c r="M15" s="187"/>
    </row>
    <row r="16" spans="1:13" s="180" customFormat="1" ht="14.25" hidden="1">
      <c r="A16" s="201" t="s">
        <v>168</v>
      </c>
      <c r="B16" s="198">
        <f t="shared" si="1"/>
        <v>0</v>
      </c>
      <c r="C16" s="179"/>
      <c r="D16" s="179"/>
      <c r="E16" s="186"/>
      <c r="F16" s="195">
        <f t="shared" si="0"/>
        <v>0</v>
      </c>
      <c r="G16" s="179"/>
      <c r="H16" s="179"/>
      <c r="I16" s="186"/>
      <c r="J16" s="195">
        <f t="shared" si="2"/>
        <v>0</v>
      </c>
      <c r="K16" s="179"/>
      <c r="L16" s="179"/>
      <c r="M16" s="186"/>
    </row>
    <row r="17" spans="1:13" ht="14.25">
      <c r="A17" s="202" t="s">
        <v>170</v>
      </c>
      <c r="B17" s="198">
        <f t="shared" si="1"/>
        <v>1194.8822</v>
      </c>
      <c r="C17" s="181">
        <v>0</v>
      </c>
      <c r="D17" s="181">
        <v>0</v>
      </c>
      <c r="E17" s="187">
        <v>1194.8822</v>
      </c>
      <c r="F17" s="195">
        <f t="shared" si="0"/>
        <v>2219.78444</v>
      </c>
      <c r="G17" s="181">
        <v>0</v>
      </c>
      <c r="H17" s="181">
        <v>0</v>
      </c>
      <c r="I17" s="187">
        <v>2219.78444</v>
      </c>
      <c r="J17" s="195">
        <f t="shared" si="2"/>
        <v>531.02862</v>
      </c>
      <c r="K17" s="181">
        <v>0</v>
      </c>
      <c r="L17" s="181">
        <v>0</v>
      </c>
      <c r="M17" s="187">
        <v>531.02862</v>
      </c>
    </row>
    <row r="18" spans="1:13" ht="15">
      <c r="A18" s="227" t="s">
        <v>149</v>
      </c>
      <c r="B18" s="229">
        <f t="shared" si="1"/>
        <v>425.70495</v>
      </c>
      <c r="C18" s="233">
        <f>C20+C21</f>
        <v>425.70495</v>
      </c>
      <c r="D18" s="233">
        <f>D20+D21</f>
        <v>0</v>
      </c>
      <c r="E18" s="233">
        <f>E20+E21</f>
        <v>0</v>
      </c>
      <c r="F18" s="236">
        <f>SUM(G18:I18)</f>
        <v>480.5</v>
      </c>
      <c r="G18" s="233">
        <f>G20+G21</f>
        <v>480.5</v>
      </c>
      <c r="H18" s="233">
        <f>H20+H21</f>
        <v>0</v>
      </c>
      <c r="I18" s="233">
        <f>I20+I21</f>
        <v>0</v>
      </c>
      <c r="J18" s="236">
        <f t="shared" si="2"/>
        <v>248.38139</v>
      </c>
      <c r="K18" s="233">
        <f>K20+K21</f>
        <v>248.38139</v>
      </c>
      <c r="L18" s="233">
        <f>L20+L21</f>
        <v>0</v>
      </c>
      <c r="M18" s="233">
        <f>M20+M21</f>
        <v>0</v>
      </c>
    </row>
    <row r="19" spans="1:13" ht="14.25">
      <c r="A19" s="201" t="s">
        <v>161</v>
      </c>
      <c r="B19" s="198"/>
      <c r="C19" s="182"/>
      <c r="D19" s="182"/>
      <c r="E19" s="188"/>
      <c r="F19" s="195"/>
      <c r="G19" s="182"/>
      <c r="H19" s="182"/>
      <c r="I19" s="188"/>
      <c r="J19" s="237"/>
      <c r="K19" s="182"/>
      <c r="L19" s="182"/>
      <c r="M19" s="188"/>
    </row>
    <row r="20" spans="1:13" ht="14.25">
      <c r="A20" s="202" t="s">
        <v>163</v>
      </c>
      <c r="B20" s="198">
        <f>C20+D20+E20</f>
        <v>401</v>
      </c>
      <c r="C20" s="182">
        <v>401</v>
      </c>
      <c r="D20" s="182">
        <v>0</v>
      </c>
      <c r="E20" s="188">
        <v>0</v>
      </c>
      <c r="F20" s="195">
        <f t="shared" si="0"/>
        <v>458.94</v>
      </c>
      <c r="G20" s="182">
        <v>458.94</v>
      </c>
      <c r="H20" s="182">
        <v>0</v>
      </c>
      <c r="I20" s="188">
        <v>0</v>
      </c>
      <c r="J20" s="237">
        <f t="shared" si="2"/>
        <v>239.92138</v>
      </c>
      <c r="K20" s="182">
        <v>239.92138</v>
      </c>
      <c r="L20" s="182">
        <v>0</v>
      </c>
      <c r="M20" s="188">
        <v>0</v>
      </c>
    </row>
    <row r="21" spans="1:13" ht="14.25">
      <c r="A21" s="202" t="s">
        <v>164</v>
      </c>
      <c r="B21" s="198">
        <f>C21+D21+E21</f>
        <v>24.70495</v>
      </c>
      <c r="C21" s="182">
        <v>24.70495</v>
      </c>
      <c r="D21" s="182">
        <v>0</v>
      </c>
      <c r="E21" s="188">
        <v>0</v>
      </c>
      <c r="F21" s="195">
        <f t="shared" si="0"/>
        <v>21.56</v>
      </c>
      <c r="G21" s="182">
        <v>21.56</v>
      </c>
      <c r="H21" s="182">
        <v>0</v>
      </c>
      <c r="I21" s="188">
        <v>0</v>
      </c>
      <c r="J21" s="237">
        <f t="shared" si="2"/>
        <v>8.46001</v>
      </c>
      <c r="K21" s="182">
        <v>8.46001</v>
      </c>
      <c r="L21" s="182">
        <v>0</v>
      </c>
      <c r="M21" s="188">
        <v>0</v>
      </c>
    </row>
    <row r="22" spans="1:13" ht="14.25">
      <c r="A22" s="201" t="s">
        <v>162</v>
      </c>
      <c r="B22" s="198">
        <v>0</v>
      </c>
      <c r="C22" s="182">
        <v>0</v>
      </c>
      <c r="D22" s="182">
        <v>0</v>
      </c>
      <c r="E22" s="188">
        <v>0</v>
      </c>
      <c r="F22" s="195">
        <f t="shared" si="0"/>
        <v>0</v>
      </c>
      <c r="G22" s="182">
        <v>0</v>
      </c>
      <c r="H22" s="182">
        <v>0</v>
      </c>
      <c r="I22" s="188">
        <v>0</v>
      </c>
      <c r="J22" s="237">
        <f t="shared" si="2"/>
        <v>0</v>
      </c>
      <c r="K22" s="182">
        <v>0</v>
      </c>
      <c r="L22" s="182">
        <v>0</v>
      </c>
      <c r="M22" s="188">
        <v>0</v>
      </c>
    </row>
    <row r="23" spans="1:13" s="178" customFormat="1" ht="30">
      <c r="A23" s="203" t="s">
        <v>150</v>
      </c>
      <c r="B23" s="229">
        <f t="shared" si="1"/>
        <v>422.76467</v>
      </c>
      <c r="C23" s="177">
        <f>C26</f>
        <v>0</v>
      </c>
      <c r="D23" s="177">
        <f>D26</f>
        <v>0</v>
      </c>
      <c r="E23" s="177">
        <f>E26</f>
        <v>422.76467</v>
      </c>
      <c r="F23" s="236">
        <f t="shared" si="0"/>
        <v>1019.70089</v>
      </c>
      <c r="G23" s="177">
        <f>G26+G28</f>
        <v>0</v>
      </c>
      <c r="H23" s="177">
        <f>H26+H28</f>
        <v>0</v>
      </c>
      <c r="I23" s="177">
        <f>I26+I28</f>
        <v>1019.70089</v>
      </c>
      <c r="J23" s="236">
        <f t="shared" si="2"/>
        <v>223.88598</v>
      </c>
      <c r="K23" s="177">
        <f>K26+K28</f>
        <v>0</v>
      </c>
      <c r="L23" s="177">
        <f>L26+L28</f>
        <v>0</v>
      </c>
      <c r="M23" s="177">
        <f>M26+M28</f>
        <v>223.88598</v>
      </c>
    </row>
    <row r="24" spans="1:13" s="180" customFormat="1" ht="14.25">
      <c r="A24" s="201" t="s">
        <v>161</v>
      </c>
      <c r="B24" s="198"/>
      <c r="C24" s="179"/>
      <c r="D24" s="179"/>
      <c r="E24" s="186"/>
      <c r="F24" s="195"/>
      <c r="G24" s="179"/>
      <c r="H24" s="179"/>
      <c r="I24" s="186"/>
      <c r="J24" s="195"/>
      <c r="K24" s="179"/>
      <c r="L24" s="179"/>
      <c r="M24" s="186"/>
    </row>
    <row r="25" spans="1:13" s="180" customFormat="1" ht="14.25" hidden="1">
      <c r="A25" s="202" t="s">
        <v>163</v>
      </c>
      <c r="B25" s="198">
        <f>SUM(C25:E25)</f>
        <v>0</v>
      </c>
      <c r="C25" s="179"/>
      <c r="D25" s="179"/>
      <c r="E25" s="186"/>
      <c r="F25" s="195"/>
      <c r="G25" s="179"/>
      <c r="H25" s="179"/>
      <c r="I25" s="186"/>
      <c r="J25" s="195"/>
      <c r="K25" s="179"/>
      <c r="L25" s="179"/>
      <c r="M25" s="186"/>
    </row>
    <row r="26" spans="1:13" s="180" customFormat="1" ht="14.25">
      <c r="A26" s="202" t="s">
        <v>164</v>
      </c>
      <c r="B26" s="198">
        <f>SUM(C26:E26)</f>
        <v>422.76467</v>
      </c>
      <c r="C26" s="179">
        <v>0</v>
      </c>
      <c r="D26" s="179">
        <v>0</v>
      </c>
      <c r="E26" s="186">
        <v>422.76467</v>
      </c>
      <c r="F26" s="195">
        <f aca="true" t="shared" si="3" ref="F26:F31">G26+H26+I26</f>
        <v>869.70089</v>
      </c>
      <c r="G26" s="179">
        <v>0</v>
      </c>
      <c r="H26" s="179">
        <v>0</v>
      </c>
      <c r="I26" s="186">
        <v>869.70089</v>
      </c>
      <c r="J26" s="195">
        <f>K26+L26+M26</f>
        <v>223.88598</v>
      </c>
      <c r="K26" s="179">
        <v>0</v>
      </c>
      <c r="L26" s="179">
        <v>0</v>
      </c>
      <c r="M26" s="186">
        <v>223.88598</v>
      </c>
    </row>
    <row r="27" spans="1:13" s="180" customFormat="1" ht="14.25">
      <c r="A27" s="201" t="s">
        <v>162</v>
      </c>
      <c r="B27" s="198">
        <f>SUM(C27:E27)</f>
        <v>0</v>
      </c>
      <c r="C27" s="179">
        <v>0</v>
      </c>
      <c r="D27" s="179">
        <v>0</v>
      </c>
      <c r="E27" s="186">
        <v>0</v>
      </c>
      <c r="F27" s="195">
        <f t="shared" si="3"/>
        <v>0</v>
      </c>
      <c r="G27" s="179">
        <v>0</v>
      </c>
      <c r="H27" s="179">
        <v>0</v>
      </c>
      <c r="I27" s="186">
        <v>0</v>
      </c>
      <c r="J27" s="195">
        <f>K27+L27+M27</f>
        <v>0</v>
      </c>
      <c r="K27" s="179">
        <v>0</v>
      </c>
      <c r="L27" s="179">
        <v>0</v>
      </c>
      <c r="M27" s="186">
        <v>0</v>
      </c>
    </row>
    <row r="28" spans="1:13" s="180" customFormat="1" ht="14.25">
      <c r="A28" s="202" t="s">
        <v>170</v>
      </c>
      <c r="B28" s="198">
        <f>SUM(C28:E28)</f>
        <v>0</v>
      </c>
      <c r="C28" s="179">
        <v>0</v>
      </c>
      <c r="D28" s="179">
        <v>0</v>
      </c>
      <c r="E28" s="186">
        <v>0</v>
      </c>
      <c r="F28" s="195">
        <f t="shared" si="3"/>
        <v>150</v>
      </c>
      <c r="G28" s="179">
        <v>0</v>
      </c>
      <c r="H28" s="179">
        <v>0</v>
      </c>
      <c r="I28" s="186">
        <v>150</v>
      </c>
      <c r="J28" s="195">
        <f>K28+L28+M28</f>
        <v>0</v>
      </c>
      <c r="K28" s="179">
        <v>0</v>
      </c>
      <c r="L28" s="179">
        <v>0</v>
      </c>
      <c r="M28" s="186">
        <v>0</v>
      </c>
    </row>
    <row r="29" spans="1:13" s="180" customFormat="1" ht="14.25" hidden="1">
      <c r="A29" s="202"/>
      <c r="B29" s="198">
        <f>SUM(C29:E29)</f>
        <v>0</v>
      </c>
      <c r="C29" s="179"/>
      <c r="D29" s="179"/>
      <c r="E29" s="186"/>
      <c r="F29" s="195">
        <f t="shared" si="3"/>
        <v>0</v>
      </c>
      <c r="G29" s="179"/>
      <c r="H29" s="179"/>
      <c r="I29" s="186"/>
      <c r="J29" s="195">
        <f>K29+L29+M29</f>
        <v>0</v>
      </c>
      <c r="K29" s="179"/>
      <c r="L29" s="179"/>
      <c r="M29" s="186"/>
    </row>
    <row r="30" spans="1:13" ht="14.25" hidden="1">
      <c r="A30" s="202" t="s">
        <v>170</v>
      </c>
      <c r="B30" s="198">
        <f t="shared" si="1"/>
        <v>0</v>
      </c>
      <c r="C30" s="181"/>
      <c r="D30" s="181"/>
      <c r="E30" s="187"/>
      <c r="F30" s="195">
        <f t="shared" si="3"/>
        <v>0</v>
      </c>
      <c r="G30" s="181"/>
      <c r="H30" s="181"/>
      <c r="I30" s="187"/>
      <c r="J30" s="195">
        <f>K30+L30+M30</f>
        <v>0</v>
      </c>
      <c r="K30" s="181"/>
      <c r="L30" s="181"/>
      <c r="M30" s="187"/>
    </row>
    <row r="31" spans="1:13" s="178" customFormat="1" ht="15">
      <c r="A31" s="203" t="s">
        <v>151</v>
      </c>
      <c r="B31" s="229">
        <f t="shared" si="1"/>
        <v>11374.35125</v>
      </c>
      <c r="C31" s="177">
        <f>C33+C34+C36+C37</f>
        <v>0</v>
      </c>
      <c r="D31" s="177">
        <f>D33+D34+D36+D37</f>
        <v>5996.369290000001</v>
      </c>
      <c r="E31" s="177">
        <f>E33+E34+E36+E37</f>
        <v>5377.98196</v>
      </c>
      <c r="F31" s="236">
        <f t="shared" si="3"/>
        <v>14816.27216</v>
      </c>
      <c r="G31" s="177">
        <f>G33+G34+G36+G37</f>
        <v>0</v>
      </c>
      <c r="H31" s="177">
        <f>H33+H34+H36+H37</f>
        <v>5773.38649</v>
      </c>
      <c r="I31" s="177">
        <f>I33+I34+I36+I37</f>
        <v>9042.88567</v>
      </c>
      <c r="J31" s="236">
        <f t="shared" si="2"/>
        <v>3335.46946</v>
      </c>
      <c r="K31" s="238">
        <f>K33+K34+K36+K37</f>
        <v>0</v>
      </c>
      <c r="L31" s="238">
        <f>L33+L34+L36+L37</f>
        <v>172.54657</v>
      </c>
      <c r="M31" s="238">
        <f>M33+M34+M36+M37</f>
        <v>3162.92289</v>
      </c>
    </row>
    <row r="32" spans="1:13" s="180" customFormat="1" ht="14.25">
      <c r="A32" s="201" t="s">
        <v>161</v>
      </c>
      <c r="B32" s="198"/>
      <c r="C32" s="179"/>
      <c r="D32" s="179"/>
      <c r="E32" s="186"/>
      <c r="F32" s="195"/>
      <c r="G32" s="179"/>
      <c r="H32" s="179"/>
      <c r="I32" s="186"/>
      <c r="J32" s="195"/>
      <c r="K32" s="179"/>
      <c r="L32" s="179"/>
      <c r="M32" s="179"/>
    </row>
    <row r="33" spans="1:13" s="180" customFormat="1" ht="14.25">
      <c r="A33" s="202" t="s">
        <v>163</v>
      </c>
      <c r="B33" s="198">
        <f>SUM(C33:E33)</f>
        <v>143.58524</v>
      </c>
      <c r="C33" s="179">
        <v>0</v>
      </c>
      <c r="D33" s="179">
        <v>143.58524</v>
      </c>
      <c r="E33" s="186">
        <v>0</v>
      </c>
      <c r="F33" s="195">
        <f t="shared" si="0"/>
        <v>165.795</v>
      </c>
      <c r="G33" s="179">
        <v>0</v>
      </c>
      <c r="H33" s="179">
        <v>165.795</v>
      </c>
      <c r="I33" s="186">
        <v>0</v>
      </c>
      <c r="J33" s="195">
        <f>SUM(K33:M33)</f>
        <v>67.25484</v>
      </c>
      <c r="K33" s="179">
        <v>0</v>
      </c>
      <c r="L33" s="179">
        <v>67.25484</v>
      </c>
      <c r="M33" s="186">
        <v>0</v>
      </c>
    </row>
    <row r="34" spans="1:13" s="180" customFormat="1" ht="14.25">
      <c r="A34" s="202" t="s">
        <v>164</v>
      </c>
      <c r="B34" s="198">
        <f>SUM(C34:E34)</f>
        <v>10701.40703</v>
      </c>
      <c r="C34" s="179">
        <v>0</v>
      </c>
      <c r="D34" s="179">
        <v>5357.14302</v>
      </c>
      <c r="E34" s="186">
        <v>5344.26401</v>
      </c>
      <c r="F34" s="195">
        <f t="shared" si="0"/>
        <v>13954.89067</v>
      </c>
      <c r="G34" s="179">
        <v>0</v>
      </c>
      <c r="H34" s="179">
        <v>5007.005</v>
      </c>
      <c r="I34" s="186">
        <v>8947.88567</v>
      </c>
      <c r="J34" s="195">
        <f>SUM(K34:M34)</f>
        <v>3268.2146199999997</v>
      </c>
      <c r="K34" s="179">
        <v>0</v>
      </c>
      <c r="L34" s="179">
        <v>105.29173</v>
      </c>
      <c r="M34" s="186">
        <v>3162.92289</v>
      </c>
    </row>
    <row r="35" spans="1:13" s="180" customFormat="1" ht="14.25">
      <c r="A35" s="201" t="s">
        <v>162</v>
      </c>
      <c r="B35" s="198">
        <f>SUM(C35:E35)</f>
        <v>3</v>
      </c>
      <c r="C35" s="179">
        <v>0</v>
      </c>
      <c r="D35" s="179">
        <v>0</v>
      </c>
      <c r="E35" s="186">
        <v>3</v>
      </c>
      <c r="F35" s="195">
        <f t="shared" si="0"/>
        <v>0</v>
      </c>
      <c r="G35" s="179">
        <v>0</v>
      </c>
      <c r="H35" s="179">
        <v>0</v>
      </c>
      <c r="I35" s="186">
        <v>0</v>
      </c>
      <c r="J35" s="195">
        <f>SUM(K35:M35)</f>
        <v>0</v>
      </c>
      <c r="K35" s="179">
        <v>0</v>
      </c>
      <c r="L35" s="179">
        <v>0</v>
      </c>
      <c r="M35" s="186">
        <v>0</v>
      </c>
    </row>
    <row r="36" spans="1:13" ht="14.25">
      <c r="A36" s="202" t="s">
        <v>165</v>
      </c>
      <c r="B36" s="198">
        <f t="shared" si="1"/>
        <v>15</v>
      </c>
      <c r="C36" s="181">
        <v>0</v>
      </c>
      <c r="D36" s="181">
        <v>0</v>
      </c>
      <c r="E36" s="187">
        <v>15</v>
      </c>
      <c r="F36" s="195">
        <f t="shared" si="0"/>
        <v>20</v>
      </c>
      <c r="G36" s="181">
        <v>0</v>
      </c>
      <c r="H36" s="181">
        <v>0</v>
      </c>
      <c r="I36" s="187">
        <v>20</v>
      </c>
      <c r="J36" s="195">
        <f t="shared" si="2"/>
        <v>0</v>
      </c>
      <c r="K36" s="181">
        <v>0</v>
      </c>
      <c r="L36" s="181">
        <v>0</v>
      </c>
      <c r="M36" s="187">
        <v>0</v>
      </c>
    </row>
    <row r="37" spans="1:13" ht="14.25">
      <c r="A37" s="202" t="s">
        <v>170</v>
      </c>
      <c r="B37" s="198">
        <f t="shared" si="1"/>
        <v>514.35898</v>
      </c>
      <c r="C37" s="181">
        <v>0</v>
      </c>
      <c r="D37" s="181">
        <v>495.64103</v>
      </c>
      <c r="E37" s="187">
        <v>18.71795</v>
      </c>
      <c r="F37" s="195">
        <f t="shared" si="0"/>
        <v>675.58649</v>
      </c>
      <c r="G37" s="181">
        <v>0</v>
      </c>
      <c r="H37" s="181">
        <v>600.58649</v>
      </c>
      <c r="I37" s="187">
        <v>75</v>
      </c>
      <c r="J37" s="195">
        <f t="shared" si="2"/>
        <v>0</v>
      </c>
      <c r="K37" s="181">
        <v>0</v>
      </c>
      <c r="L37" s="181">
        <v>0</v>
      </c>
      <c r="M37" s="187">
        <v>0</v>
      </c>
    </row>
    <row r="38" spans="1:13" s="178" customFormat="1" ht="15">
      <c r="A38" s="203" t="s">
        <v>152</v>
      </c>
      <c r="B38" s="229">
        <f t="shared" si="1"/>
        <v>23723.91323</v>
      </c>
      <c r="C38" s="177">
        <f>C40+C41+C44</f>
        <v>10729.17283</v>
      </c>
      <c r="D38" s="177">
        <f>D40+D41+D44</f>
        <v>4736.23008</v>
      </c>
      <c r="E38" s="177">
        <f>E40+E41+E44</f>
        <v>8258.51032</v>
      </c>
      <c r="F38" s="195">
        <f t="shared" si="0"/>
        <v>26197.72108</v>
      </c>
      <c r="G38" s="177">
        <f>G40+G41+G43+G44</f>
        <v>7505.28273</v>
      </c>
      <c r="H38" s="177">
        <f>H40+H41+H43+H44</f>
        <v>2755.10215</v>
      </c>
      <c r="I38" s="177">
        <f>I40+I41+I43+I44</f>
        <v>15937.3362</v>
      </c>
      <c r="J38" s="236">
        <f t="shared" si="2"/>
        <v>8108.363985</v>
      </c>
      <c r="K38" s="177">
        <f>K40+K41+K43+K44</f>
        <v>2206.347735</v>
      </c>
      <c r="L38" s="177">
        <f>L40+L41+L43+L44</f>
        <v>957.3973700000001</v>
      </c>
      <c r="M38" s="177">
        <f>M40+M41+M43+M44</f>
        <v>4944.61888</v>
      </c>
    </row>
    <row r="39" spans="1:13" s="180" customFormat="1" ht="15">
      <c r="A39" s="201" t="s">
        <v>161</v>
      </c>
      <c r="B39" s="198"/>
      <c r="C39" s="179"/>
      <c r="D39" s="179"/>
      <c r="E39" s="186"/>
      <c r="F39" s="195"/>
      <c r="G39" s="177"/>
      <c r="H39" s="179"/>
      <c r="I39" s="186"/>
      <c r="J39" s="195"/>
      <c r="K39" s="179"/>
      <c r="L39" s="179"/>
      <c r="M39" s="186"/>
    </row>
    <row r="40" spans="1:13" s="180" customFormat="1" ht="14.25">
      <c r="A40" s="202" t="s">
        <v>163</v>
      </c>
      <c r="B40" s="198">
        <f>SUM(C40:E40)</f>
        <v>1144.66746</v>
      </c>
      <c r="C40" s="179">
        <v>0</v>
      </c>
      <c r="D40" s="179">
        <v>0</v>
      </c>
      <c r="E40" s="186">
        <v>1144.66746</v>
      </c>
      <c r="F40" s="195">
        <f t="shared" si="0"/>
        <v>1662.19696</v>
      </c>
      <c r="G40" s="239">
        <v>0</v>
      </c>
      <c r="H40" s="179">
        <v>0</v>
      </c>
      <c r="I40" s="186">
        <v>1662.19696</v>
      </c>
      <c r="J40" s="195">
        <f t="shared" si="2"/>
        <v>883.7111</v>
      </c>
      <c r="K40" s="179">
        <v>0</v>
      </c>
      <c r="L40" s="179">
        <v>0</v>
      </c>
      <c r="M40" s="186">
        <v>883.7111</v>
      </c>
    </row>
    <row r="41" spans="1:13" s="180" customFormat="1" ht="14.25">
      <c r="A41" s="202" t="s">
        <v>164</v>
      </c>
      <c r="B41" s="198">
        <f>SUM(C41:E41)</f>
        <v>21540.74127</v>
      </c>
      <c r="C41" s="179">
        <v>10729.17283</v>
      </c>
      <c r="D41" s="179">
        <v>4736.23008</v>
      </c>
      <c r="E41" s="186">
        <v>6075.33836</v>
      </c>
      <c r="F41" s="195">
        <f t="shared" si="0"/>
        <v>22328.56701</v>
      </c>
      <c r="G41" s="179">
        <v>7505.28273</v>
      </c>
      <c r="H41" s="179">
        <v>2132.12383</v>
      </c>
      <c r="I41" s="186">
        <v>12691.16045</v>
      </c>
      <c r="J41" s="195">
        <f t="shared" si="2"/>
        <v>6507.679335</v>
      </c>
      <c r="K41" s="179">
        <v>2206.347735</v>
      </c>
      <c r="L41" s="179">
        <v>334.41905</v>
      </c>
      <c r="M41" s="186">
        <v>3966.91255</v>
      </c>
    </row>
    <row r="42" spans="1:13" ht="14.25">
      <c r="A42" s="201" t="s">
        <v>162</v>
      </c>
      <c r="B42" s="198">
        <f>SUM(C42:E42)</f>
        <v>4150.16831</v>
      </c>
      <c r="C42" s="181"/>
      <c r="D42" s="181">
        <v>3054.4</v>
      </c>
      <c r="E42" s="187">
        <v>1095.76831</v>
      </c>
      <c r="F42" s="195">
        <f t="shared" si="0"/>
        <v>2200.52645</v>
      </c>
      <c r="G42" s="181">
        <v>0</v>
      </c>
      <c r="H42" s="181">
        <v>904.02168</v>
      </c>
      <c r="I42" s="187">
        <v>1296.50477</v>
      </c>
      <c r="J42" s="195">
        <f t="shared" si="2"/>
        <v>308.38308</v>
      </c>
      <c r="K42" s="181">
        <v>0</v>
      </c>
      <c r="L42" s="181">
        <v>266.1815</v>
      </c>
      <c r="M42" s="187">
        <v>42.20158</v>
      </c>
    </row>
    <row r="43" spans="1:13" ht="14.25">
      <c r="A43" s="202" t="s">
        <v>167</v>
      </c>
      <c r="B43" s="198">
        <f>SUM(C43:E43)</f>
        <v>0</v>
      </c>
      <c r="C43" s="181">
        <v>0</v>
      </c>
      <c r="D43" s="181">
        <v>0</v>
      </c>
      <c r="E43" s="187">
        <v>0</v>
      </c>
      <c r="F43" s="195">
        <f t="shared" si="0"/>
        <v>716.97355</v>
      </c>
      <c r="G43" s="181">
        <v>0</v>
      </c>
      <c r="H43" s="181">
        <v>622.97832</v>
      </c>
      <c r="I43" s="187">
        <v>93.99523</v>
      </c>
      <c r="J43" s="195">
        <f t="shared" si="2"/>
        <v>716.97355</v>
      </c>
      <c r="K43" s="181">
        <v>0</v>
      </c>
      <c r="L43" s="181">
        <v>622.97832</v>
      </c>
      <c r="M43" s="187">
        <v>93.99523</v>
      </c>
    </row>
    <row r="44" spans="1:13" ht="14.25">
      <c r="A44" s="202" t="s">
        <v>170</v>
      </c>
      <c r="B44" s="198">
        <f t="shared" si="1"/>
        <v>1038.5045</v>
      </c>
      <c r="C44" s="181">
        <v>0</v>
      </c>
      <c r="D44" s="181">
        <v>0</v>
      </c>
      <c r="E44" s="187">
        <v>1038.5045</v>
      </c>
      <c r="F44" s="195">
        <f t="shared" si="0"/>
        <v>1489.98356</v>
      </c>
      <c r="G44" s="181">
        <v>0</v>
      </c>
      <c r="H44" s="181">
        <v>0</v>
      </c>
      <c r="I44" s="187">
        <v>1489.98356</v>
      </c>
      <c r="J44" s="195">
        <f t="shared" si="2"/>
        <v>0</v>
      </c>
      <c r="K44" s="181">
        <v>0</v>
      </c>
      <c r="L44" s="181">
        <v>0</v>
      </c>
      <c r="M44" s="187">
        <v>0</v>
      </c>
    </row>
    <row r="45" spans="1:13" s="178" customFormat="1" ht="15">
      <c r="A45" s="203" t="s">
        <v>153</v>
      </c>
      <c r="B45" s="229">
        <f t="shared" si="1"/>
        <v>110.8848</v>
      </c>
      <c r="C45" s="177">
        <f>C47</f>
        <v>0</v>
      </c>
      <c r="D45" s="177">
        <f>D47</f>
        <v>0</v>
      </c>
      <c r="E45" s="177">
        <f>E47</f>
        <v>110.8848</v>
      </c>
      <c r="F45" s="236">
        <f t="shared" si="0"/>
        <v>671</v>
      </c>
      <c r="G45" s="177">
        <f>G47</f>
        <v>0</v>
      </c>
      <c r="H45" s="177">
        <f>H47</f>
        <v>0</v>
      </c>
      <c r="I45" s="177">
        <f>I47</f>
        <v>671</v>
      </c>
      <c r="J45" s="236">
        <f t="shared" si="2"/>
        <v>0</v>
      </c>
      <c r="K45" s="177">
        <f>K47</f>
        <v>0</v>
      </c>
      <c r="L45" s="177">
        <f>L47</f>
        <v>0</v>
      </c>
      <c r="M45" s="177">
        <f>M47</f>
        <v>0</v>
      </c>
    </row>
    <row r="46" spans="1:13" s="180" customFormat="1" ht="14.25">
      <c r="A46" s="201" t="s">
        <v>161</v>
      </c>
      <c r="B46" s="198"/>
      <c r="C46" s="179"/>
      <c r="D46" s="179"/>
      <c r="E46" s="186"/>
      <c r="F46" s="195">
        <f t="shared" si="0"/>
        <v>0</v>
      </c>
      <c r="G46" s="179"/>
      <c r="H46" s="179"/>
      <c r="I46" s="186"/>
      <c r="J46" s="195">
        <f t="shared" si="2"/>
        <v>0</v>
      </c>
      <c r="K46" s="179"/>
      <c r="L46" s="179"/>
      <c r="M46" s="186"/>
    </row>
    <row r="47" spans="1:13" ht="14.25">
      <c r="A47" s="202" t="s">
        <v>164</v>
      </c>
      <c r="B47" s="198">
        <f t="shared" si="1"/>
        <v>110.8848</v>
      </c>
      <c r="C47" s="181">
        <v>0</v>
      </c>
      <c r="D47" s="181">
        <v>0</v>
      </c>
      <c r="E47" s="187">
        <v>110.8848</v>
      </c>
      <c r="F47" s="195">
        <f t="shared" si="0"/>
        <v>671</v>
      </c>
      <c r="G47" s="181">
        <v>0</v>
      </c>
      <c r="H47" s="181">
        <v>0</v>
      </c>
      <c r="I47" s="187">
        <v>671</v>
      </c>
      <c r="J47" s="195">
        <f t="shared" si="2"/>
        <v>0</v>
      </c>
      <c r="K47" s="181">
        <v>0</v>
      </c>
      <c r="L47" s="181">
        <v>0</v>
      </c>
      <c r="M47" s="187">
        <v>0</v>
      </c>
    </row>
    <row r="48" spans="1:13" s="178" customFormat="1" ht="15">
      <c r="A48" s="203" t="s">
        <v>154</v>
      </c>
      <c r="B48" s="229">
        <f t="shared" si="1"/>
        <v>113554.49789</v>
      </c>
      <c r="C48" s="177">
        <f>C50+C51+C53+C54+C55+C57</f>
        <v>7599.53303</v>
      </c>
      <c r="D48" s="177">
        <f>D50+D51+D53+D54+D55+D57</f>
        <v>70419.66889999999</v>
      </c>
      <c r="E48" s="177">
        <f>E50+E51+E53+E54+E55+E57</f>
        <v>35535.29596</v>
      </c>
      <c r="F48" s="236">
        <f t="shared" si="0"/>
        <v>243178.75837000003</v>
      </c>
      <c r="G48" s="177">
        <f>G50+G51+G53+G55+G57</f>
        <v>107105.25789</v>
      </c>
      <c r="H48" s="177">
        <f>H50+H51+H53+H55+H57</f>
        <v>100581.40713</v>
      </c>
      <c r="I48" s="177">
        <f>I50+I51+I53+I55+I57</f>
        <v>35492.09335</v>
      </c>
      <c r="J48" s="236">
        <f t="shared" si="2"/>
        <v>112577.57359999999</v>
      </c>
      <c r="K48" s="177">
        <f>K50+K51+K53+K55+K57</f>
        <v>42880.373289999996</v>
      </c>
      <c r="L48" s="177">
        <f>L50+L51+L53+L55+L57</f>
        <v>49254.305459999996</v>
      </c>
      <c r="M48" s="177">
        <f>M50+M51+M53+M55+M57</f>
        <v>20442.89485</v>
      </c>
    </row>
    <row r="49" spans="1:13" s="180" customFormat="1" ht="14.25">
      <c r="A49" s="201" t="s">
        <v>161</v>
      </c>
      <c r="B49" s="198"/>
      <c r="F49" s="195"/>
      <c r="G49" s="179"/>
      <c r="H49" s="179"/>
      <c r="I49" s="186"/>
      <c r="J49" s="195"/>
      <c r="K49" s="179"/>
      <c r="L49" s="179"/>
      <c r="M49" s="186"/>
    </row>
    <row r="50" spans="1:13" s="180" customFormat="1" ht="14.25">
      <c r="A50" s="202" t="s">
        <v>163</v>
      </c>
      <c r="B50" s="198">
        <f t="shared" si="1"/>
        <v>57038.55267</v>
      </c>
      <c r="C50" s="179">
        <v>2912.60207</v>
      </c>
      <c r="D50" s="179">
        <v>42791.66441</v>
      </c>
      <c r="E50" s="186">
        <v>11334.28619</v>
      </c>
      <c r="F50" s="195">
        <f t="shared" si="0"/>
        <v>61566.811910000004</v>
      </c>
      <c r="G50" s="179">
        <v>2968.56</v>
      </c>
      <c r="H50" s="179">
        <v>45244.4858</v>
      </c>
      <c r="I50" s="186">
        <v>13353.76611</v>
      </c>
      <c r="J50" s="195">
        <f aca="true" t="shared" si="4" ref="J50:J55">SUM(K50:M50)</f>
        <v>36944.07419</v>
      </c>
      <c r="K50" s="179">
        <v>1954.63748</v>
      </c>
      <c r="L50" s="179">
        <v>27328.86775</v>
      </c>
      <c r="M50" s="186">
        <v>7660.56896</v>
      </c>
    </row>
    <row r="51" spans="1:13" s="180" customFormat="1" ht="14.25">
      <c r="A51" s="202" t="s">
        <v>164</v>
      </c>
      <c r="B51" s="198">
        <f t="shared" si="1"/>
        <v>26583.70732</v>
      </c>
      <c r="C51" s="179">
        <v>2667.14495</v>
      </c>
      <c r="D51" s="179">
        <v>8075.47755</v>
      </c>
      <c r="E51" s="186">
        <v>15841.08482</v>
      </c>
      <c r="F51" s="195">
        <f t="shared" si="0"/>
        <v>148937.61283</v>
      </c>
      <c r="G51" s="179">
        <v>102091.27861</v>
      </c>
      <c r="H51" s="179">
        <v>32491.03915</v>
      </c>
      <c r="I51" s="186">
        <v>14355.29507</v>
      </c>
      <c r="J51" s="195">
        <f t="shared" si="4"/>
        <v>54345.96608</v>
      </c>
      <c r="K51" s="179">
        <v>39575.42467</v>
      </c>
      <c r="L51" s="179">
        <v>7894.41401</v>
      </c>
      <c r="M51" s="186">
        <v>6876.1274</v>
      </c>
    </row>
    <row r="52" spans="1:13" s="180" customFormat="1" ht="14.25">
      <c r="A52" s="201" t="s">
        <v>162</v>
      </c>
      <c r="B52" s="198">
        <f t="shared" si="1"/>
        <v>9414.499189999999</v>
      </c>
      <c r="C52" s="179">
        <v>0</v>
      </c>
      <c r="D52" s="179">
        <v>2854.82741</v>
      </c>
      <c r="E52" s="186">
        <v>6559.67178</v>
      </c>
      <c r="F52" s="195">
        <f t="shared" si="0"/>
        <v>123209.46072</v>
      </c>
      <c r="G52" s="179">
        <v>92595.1</v>
      </c>
      <c r="H52" s="179">
        <v>26903.54413</v>
      </c>
      <c r="I52" s="186">
        <v>3710.81659</v>
      </c>
      <c r="J52" s="195">
        <f t="shared" si="4"/>
        <v>40617.80938</v>
      </c>
      <c r="K52" s="179">
        <v>34122.08102</v>
      </c>
      <c r="L52" s="179">
        <v>5099.25277</v>
      </c>
      <c r="M52" s="186">
        <v>1396.47559</v>
      </c>
    </row>
    <row r="53" spans="1:13" s="180" customFormat="1" ht="14.25">
      <c r="A53" s="202" t="s">
        <v>165</v>
      </c>
      <c r="B53" s="198">
        <f t="shared" si="1"/>
        <v>98.612</v>
      </c>
      <c r="C53" s="179">
        <v>0</v>
      </c>
      <c r="D53" s="179">
        <v>98.612</v>
      </c>
      <c r="E53" s="186">
        <v>0</v>
      </c>
      <c r="F53" s="195">
        <f>SUM(H53:I53)</f>
        <v>0</v>
      </c>
      <c r="G53" s="179">
        <v>0</v>
      </c>
      <c r="H53" s="179">
        <v>0</v>
      </c>
      <c r="I53" s="186">
        <v>0</v>
      </c>
      <c r="J53" s="195">
        <f t="shared" si="4"/>
        <v>0</v>
      </c>
      <c r="K53" s="179">
        <v>0</v>
      </c>
      <c r="L53" s="179">
        <v>0</v>
      </c>
      <c r="M53" s="186">
        <v>0</v>
      </c>
    </row>
    <row r="54" spans="1:13" s="180" customFormat="1" ht="14.25" customHeight="1" hidden="1">
      <c r="A54" s="202" t="s">
        <v>166</v>
      </c>
      <c r="B54" s="198">
        <f t="shared" si="1"/>
        <v>0</v>
      </c>
      <c r="C54" s="179">
        <v>0</v>
      </c>
      <c r="D54" s="179">
        <v>0</v>
      </c>
      <c r="E54" s="186">
        <v>0</v>
      </c>
      <c r="F54" s="195">
        <f t="shared" si="0"/>
        <v>0</v>
      </c>
      <c r="G54" s="179"/>
      <c r="H54" s="179"/>
      <c r="I54" s="186"/>
      <c r="J54" s="195">
        <f t="shared" si="4"/>
        <v>0</v>
      </c>
      <c r="K54" s="179"/>
      <c r="L54" s="179"/>
      <c r="M54" s="186"/>
    </row>
    <row r="55" spans="1:13" s="180" customFormat="1" ht="14.25">
      <c r="A55" s="202" t="s">
        <v>167</v>
      </c>
      <c r="B55" s="198">
        <f t="shared" si="1"/>
        <v>29503.73662</v>
      </c>
      <c r="C55" s="179">
        <v>2019.78601</v>
      </c>
      <c r="D55" s="179">
        <v>19453.91494</v>
      </c>
      <c r="E55" s="186">
        <v>8030.03567</v>
      </c>
      <c r="F55" s="195">
        <f t="shared" si="0"/>
        <v>32423.449060000003</v>
      </c>
      <c r="G55" s="179">
        <v>2045.41928</v>
      </c>
      <c r="H55" s="179">
        <v>22845.88218</v>
      </c>
      <c r="I55" s="186">
        <v>7532.1476</v>
      </c>
      <c r="J55" s="195">
        <f t="shared" si="4"/>
        <v>21040.98233</v>
      </c>
      <c r="K55" s="179">
        <v>1350.31114</v>
      </c>
      <c r="L55" s="179">
        <v>14031.0237</v>
      </c>
      <c r="M55" s="186">
        <v>5659.64749</v>
      </c>
    </row>
    <row r="56" spans="1:13" ht="14.25">
      <c r="A56" s="228" t="s">
        <v>168</v>
      </c>
      <c r="B56" s="198">
        <f t="shared" si="1"/>
        <v>20201.16592</v>
      </c>
      <c r="C56" s="181">
        <v>0</v>
      </c>
      <c r="D56" s="181">
        <v>14072.1</v>
      </c>
      <c r="E56" s="187">
        <v>6129.06592</v>
      </c>
      <c r="F56" s="195">
        <f t="shared" si="0"/>
        <v>22468.52575</v>
      </c>
      <c r="G56" s="179">
        <v>0</v>
      </c>
      <c r="H56" s="179">
        <v>16637.99705</v>
      </c>
      <c r="I56" s="186">
        <v>5830.5287</v>
      </c>
      <c r="J56" s="195">
        <f t="shared" si="2"/>
        <v>15679.91167</v>
      </c>
      <c r="K56" s="179">
        <v>0</v>
      </c>
      <c r="L56" s="179">
        <v>11653.9</v>
      </c>
      <c r="M56" s="186">
        <v>4026.01167</v>
      </c>
    </row>
    <row r="57" spans="1:13" ht="14.25">
      <c r="A57" s="202" t="s">
        <v>170</v>
      </c>
      <c r="B57" s="198">
        <f t="shared" si="1"/>
        <v>329.88928</v>
      </c>
      <c r="C57" s="181">
        <v>0</v>
      </c>
      <c r="D57" s="181">
        <v>0</v>
      </c>
      <c r="E57" s="187">
        <v>329.88928</v>
      </c>
      <c r="F57" s="195">
        <f t="shared" si="0"/>
        <v>250.88457</v>
      </c>
      <c r="G57" s="179">
        <v>0</v>
      </c>
      <c r="H57" s="179">
        <v>0</v>
      </c>
      <c r="I57" s="186">
        <v>250.88457</v>
      </c>
      <c r="J57" s="195">
        <f t="shared" si="2"/>
        <v>246.551</v>
      </c>
      <c r="K57" s="179">
        <v>0</v>
      </c>
      <c r="L57" s="179">
        <v>0</v>
      </c>
      <c r="M57" s="186">
        <v>246.551</v>
      </c>
    </row>
    <row r="58" spans="1:13" s="178" customFormat="1" ht="15">
      <c r="A58" s="203" t="s">
        <v>155</v>
      </c>
      <c r="B58" s="229">
        <f t="shared" si="1"/>
        <v>22154.20254</v>
      </c>
      <c r="C58" s="177">
        <f>C60+C61+C63</f>
        <v>26.02012</v>
      </c>
      <c r="D58" s="177">
        <f>D60+D61+D63</f>
        <v>7561.51314</v>
      </c>
      <c r="E58" s="177">
        <f>E60+E61+E63</f>
        <v>14566.66928</v>
      </c>
      <c r="F58" s="236">
        <f t="shared" si="0"/>
        <v>24552.40443</v>
      </c>
      <c r="G58" s="177">
        <f>G60+G61+G63</f>
        <v>280.96861</v>
      </c>
      <c r="H58" s="177">
        <f>H60+H61+H63</f>
        <v>8540.58382</v>
      </c>
      <c r="I58" s="177">
        <f>I60+I61+I63</f>
        <v>15730.851999999999</v>
      </c>
      <c r="J58" s="236">
        <f t="shared" si="2"/>
        <v>15078.777450000001</v>
      </c>
      <c r="K58" s="177">
        <f>K60+K61+K63</f>
        <v>280.96861</v>
      </c>
      <c r="L58" s="177">
        <f>L60+L61+L63</f>
        <v>3780.70348</v>
      </c>
      <c r="M58" s="177">
        <f>M60+M61+M63</f>
        <v>11017.105360000001</v>
      </c>
    </row>
    <row r="59" spans="1:13" s="180" customFormat="1" ht="14.25">
      <c r="A59" s="201" t="s">
        <v>161</v>
      </c>
      <c r="B59" s="198">
        <f t="shared" si="1"/>
        <v>0</v>
      </c>
      <c r="C59" s="179"/>
      <c r="D59" s="179"/>
      <c r="E59" s="186"/>
      <c r="F59" s="195"/>
      <c r="G59" s="179"/>
      <c r="H59" s="179"/>
      <c r="I59" s="186"/>
      <c r="J59" s="195"/>
      <c r="K59" s="179"/>
      <c r="L59" s="179"/>
      <c r="M59" s="186"/>
    </row>
    <row r="60" spans="1:13" s="180" customFormat="1" ht="14.25">
      <c r="A60" s="202" t="s">
        <v>163</v>
      </c>
      <c r="B60" s="198">
        <f t="shared" si="1"/>
        <v>17869.6349</v>
      </c>
      <c r="C60" s="179">
        <v>0</v>
      </c>
      <c r="D60" s="179">
        <v>7526.18372</v>
      </c>
      <c r="E60" s="186">
        <v>10343.45118</v>
      </c>
      <c r="F60" s="195">
        <f t="shared" si="0"/>
        <v>19200.166839999998</v>
      </c>
      <c r="G60" s="179">
        <v>0</v>
      </c>
      <c r="H60" s="179">
        <v>8498.6</v>
      </c>
      <c r="I60" s="186">
        <v>10701.56684</v>
      </c>
      <c r="J60" s="195">
        <f t="shared" si="2"/>
        <v>11772.43384</v>
      </c>
      <c r="K60" s="179">
        <v>0</v>
      </c>
      <c r="L60" s="179">
        <v>3738.71966</v>
      </c>
      <c r="M60" s="186">
        <v>8033.71418</v>
      </c>
    </row>
    <row r="61" spans="1:13" s="180" customFormat="1" ht="14.25">
      <c r="A61" s="202" t="s">
        <v>164</v>
      </c>
      <c r="B61" s="198">
        <f t="shared" si="1"/>
        <v>4210.82752</v>
      </c>
      <c r="C61" s="179">
        <v>26.02012</v>
      </c>
      <c r="D61" s="179">
        <v>35.32942</v>
      </c>
      <c r="E61" s="186">
        <v>4149.47798</v>
      </c>
      <c r="F61" s="195">
        <f t="shared" si="0"/>
        <v>5274.237590000001</v>
      </c>
      <c r="G61" s="179">
        <v>280.96861</v>
      </c>
      <c r="H61" s="179">
        <v>41.98382</v>
      </c>
      <c r="I61" s="186">
        <v>4951.28516</v>
      </c>
      <c r="J61" s="195">
        <f t="shared" si="2"/>
        <v>3261.65584</v>
      </c>
      <c r="K61" s="179">
        <v>280.96861</v>
      </c>
      <c r="L61" s="179">
        <v>41.98382</v>
      </c>
      <c r="M61" s="186">
        <v>2938.70341</v>
      </c>
    </row>
    <row r="62" spans="1:13" ht="14.25">
      <c r="A62" s="201" t="s">
        <v>162</v>
      </c>
      <c r="B62" s="198">
        <f t="shared" si="1"/>
        <v>0</v>
      </c>
      <c r="C62" s="181">
        <v>0</v>
      </c>
      <c r="D62" s="181">
        <v>0</v>
      </c>
      <c r="E62" s="187">
        <v>0</v>
      </c>
      <c r="F62" s="195">
        <f t="shared" si="0"/>
        <v>0</v>
      </c>
      <c r="G62" s="181">
        <v>0</v>
      </c>
      <c r="H62" s="181">
        <v>0</v>
      </c>
      <c r="I62" s="187">
        <v>0</v>
      </c>
      <c r="J62" s="195">
        <f t="shared" si="2"/>
        <v>0</v>
      </c>
      <c r="K62" s="179">
        <v>0</v>
      </c>
      <c r="L62" s="179">
        <v>0</v>
      </c>
      <c r="M62" s="186">
        <v>0</v>
      </c>
    </row>
    <row r="63" spans="1:13" ht="14.25">
      <c r="A63" s="202" t="s">
        <v>170</v>
      </c>
      <c r="B63" s="198">
        <f t="shared" si="1"/>
        <v>73.74012</v>
      </c>
      <c r="C63" s="181">
        <v>0</v>
      </c>
      <c r="D63" s="181">
        <v>0</v>
      </c>
      <c r="E63" s="187">
        <v>73.74012</v>
      </c>
      <c r="F63" s="195">
        <f t="shared" si="0"/>
        <v>78</v>
      </c>
      <c r="G63" s="181">
        <v>0</v>
      </c>
      <c r="H63" s="181">
        <v>0</v>
      </c>
      <c r="I63" s="187">
        <v>78</v>
      </c>
      <c r="J63" s="195">
        <f t="shared" si="2"/>
        <v>44.68777</v>
      </c>
      <c r="K63" s="181">
        <v>0</v>
      </c>
      <c r="L63" s="181">
        <v>0</v>
      </c>
      <c r="M63" s="187">
        <v>44.68777</v>
      </c>
    </row>
    <row r="64" spans="1:13" s="178" customFormat="1" ht="15" hidden="1">
      <c r="A64" s="203" t="s">
        <v>156</v>
      </c>
      <c r="B64" s="198">
        <f t="shared" si="1"/>
        <v>0</v>
      </c>
      <c r="C64" s="177"/>
      <c r="D64" s="177"/>
      <c r="E64" s="185"/>
      <c r="F64" s="195">
        <f t="shared" si="0"/>
        <v>0</v>
      </c>
      <c r="G64" s="177"/>
      <c r="H64" s="177"/>
      <c r="I64" s="185"/>
      <c r="J64" s="195">
        <f t="shared" si="2"/>
        <v>0</v>
      </c>
      <c r="K64" s="177"/>
      <c r="L64" s="177"/>
      <c r="M64" s="185"/>
    </row>
    <row r="65" spans="1:13" s="180" customFormat="1" ht="14.25" hidden="1">
      <c r="A65" s="201" t="s">
        <v>161</v>
      </c>
      <c r="B65" s="198">
        <f t="shared" si="1"/>
        <v>0</v>
      </c>
      <c r="C65" s="179"/>
      <c r="D65" s="179"/>
      <c r="E65" s="186"/>
      <c r="F65" s="195">
        <f t="shared" si="0"/>
        <v>0</v>
      </c>
      <c r="G65" s="179"/>
      <c r="H65" s="179"/>
      <c r="I65" s="186"/>
      <c r="J65" s="195">
        <f t="shared" si="2"/>
        <v>0</v>
      </c>
      <c r="K65" s="179"/>
      <c r="L65" s="179"/>
      <c r="M65" s="186"/>
    </row>
    <row r="66" spans="1:13" ht="14.25" hidden="1">
      <c r="A66" s="202" t="s">
        <v>69</v>
      </c>
      <c r="B66" s="198">
        <f t="shared" si="1"/>
        <v>0</v>
      </c>
      <c r="C66" s="181"/>
      <c r="D66" s="181"/>
      <c r="E66" s="187"/>
      <c r="F66" s="195">
        <f t="shared" si="0"/>
        <v>0</v>
      </c>
      <c r="G66" s="181"/>
      <c r="H66" s="181"/>
      <c r="I66" s="187"/>
      <c r="J66" s="195">
        <f t="shared" si="2"/>
        <v>0</v>
      </c>
      <c r="K66" s="181"/>
      <c r="L66" s="181"/>
      <c r="M66" s="187"/>
    </row>
    <row r="67" spans="1:13" ht="14.25" hidden="1">
      <c r="A67" s="202" t="s">
        <v>69</v>
      </c>
      <c r="B67" s="198">
        <f t="shared" si="1"/>
        <v>0</v>
      </c>
      <c r="C67" s="181"/>
      <c r="D67" s="181"/>
      <c r="E67" s="187"/>
      <c r="F67" s="195">
        <f t="shared" si="0"/>
        <v>0</v>
      </c>
      <c r="G67" s="181"/>
      <c r="H67" s="181"/>
      <c r="I67" s="187"/>
      <c r="J67" s="195">
        <f t="shared" si="2"/>
        <v>0</v>
      </c>
      <c r="K67" s="181"/>
      <c r="L67" s="181"/>
      <c r="M67" s="187"/>
    </row>
    <row r="68" spans="1:13" s="178" customFormat="1" ht="15">
      <c r="A68" s="203" t="s">
        <v>157</v>
      </c>
      <c r="B68" s="229">
        <f t="shared" si="1"/>
        <v>2715.72077</v>
      </c>
      <c r="C68" s="177">
        <f>C70+C72+C73</f>
        <v>0</v>
      </c>
      <c r="D68" s="177">
        <f>D70+D72+D73</f>
        <v>2701.13184</v>
      </c>
      <c r="E68" s="177">
        <f>E70+E72+E73</f>
        <v>14.58893</v>
      </c>
      <c r="F68" s="236">
        <f t="shared" si="0"/>
        <v>4039.9</v>
      </c>
      <c r="G68" s="177">
        <f>G70+G72+G73</f>
        <v>0</v>
      </c>
      <c r="H68" s="177">
        <f>H70+H72+H73</f>
        <v>2914.9</v>
      </c>
      <c r="I68" s="177">
        <f>I70+I72+I73</f>
        <v>1125</v>
      </c>
      <c r="J68" s="236">
        <f t="shared" si="2"/>
        <v>2135.46368</v>
      </c>
      <c r="K68" s="238">
        <f>K70+K72+K73</f>
        <v>0</v>
      </c>
      <c r="L68" s="238">
        <f>L70+L72+L73</f>
        <v>1485.92368</v>
      </c>
      <c r="M68" s="238">
        <f>M70+M72+M73</f>
        <v>649.54</v>
      </c>
    </row>
    <row r="69" spans="1:13" s="180" customFormat="1" ht="14.25">
      <c r="A69" s="201" t="s">
        <v>161</v>
      </c>
      <c r="B69" s="198">
        <f t="shared" si="1"/>
        <v>0</v>
      </c>
      <c r="C69" s="179"/>
      <c r="D69" s="179"/>
      <c r="E69" s="186"/>
      <c r="F69" s="195"/>
      <c r="G69" s="179"/>
      <c r="H69" s="179"/>
      <c r="I69" s="186"/>
      <c r="J69" s="195"/>
      <c r="K69" s="179"/>
      <c r="L69" s="179"/>
      <c r="M69" s="186"/>
    </row>
    <row r="70" spans="1:13" s="180" customFormat="1" ht="14.25">
      <c r="A70" s="202" t="s">
        <v>164</v>
      </c>
      <c r="B70" s="198">
        <f t="shared" si="1"/>
        <v>10.192</v>
      </c>
      <c r="C70" s="179"/>
      <c r="D70" s="179">
        <v>10.192</v>
      </c>
      <c r="E70" s="186">
        <v>0</v>
      </c>
      <c r="F70" s="195">
        <f t="shared" si="0"/>
        <v>13</v>
      </c>
      <c r="G70" s="179">
        <v>0</v>
      </c>
      <c r="H70" s="179">
        <v>13</v>
      </c>
      <c r="I70" s="186">
        <v>0</v>
      </c>
      <c r="J70" s="195">
        <f t="shared" si="2"/>
        <v>4.4317</v>
      </c>
      <c r="K70" s="179">
        <v>0</v>
      </c>
      <c r="L70" s="179">
        <v>4.4317</v>
      </c>
      <c r="M70" s="186">
        <v>0</v>
      </c>
    </row>
    <row r="71" spans="1:13" s="180" customFormat="1" ht="14.25">
      <c r="A71" s="201" t="s">
        <v>162</v>
      </c>
      <c r="B71" s="198">
        <f t="shared" si="1"/>
        <v>0</v>
      </c>
      <c r="C71" s="179"/>
      <c r="D71" s="179"/>
      <c r="E71" s="186"/>
      <c r="F71" s="195">
        <f t="shared" si="0"/>
        <v>0</v>
      </c>
      <c r="G71" s="179">
        <v>0</v>
      </c>
      <c r="H71" s="179">
        <v>0</v>
      </c>
      <c r="I71" s="186">
        <v>0</v>
      </c>
      <c r="J71" s="195">
        <f t="shared" si="2"/>
        <v>0</v>
      </c>
      <c r="K71" s="179">
        <v>0</v>
      </c>
      <c r="L71" s="179">
        <v>0</v>
      </c>
      <c r="M71" s="186">
        <v>0</v>
      </c>
    </row>
    <row r="72" spans="1:13" ht="14.25">
      <c r="A72" s="202" t="s">
        <v>165</v>
      </c>
      <c r="B72" s="198">
        <f t="shared" si="1"/>
        <v>2408.3621</v>
      </c>
      <c r="C72" s="181">
        <v>0</v>
      </c>
      <c r="D72" s="181">
        <v>2393.77317</v>
      </c>
      <c r="E72" s="187">
        <v>14.58893</v>
      </c>
      <c r="F72" s="195">
        <f aca="true" t="shared" si="5" ref="F72:F78">SUM(G72:I72)</f>
        <v>3721.1</v>
      </c>
      <c r="G72" s="181">
        <v>0</v>
      </c>
      <c r="H72" s="181">
        <v>2596.1</v>
      </c>
      <c r="I72" s="187">
        <v>1125</v>
      </c>
      <c r="J72" s="195">
        <f t="shared" si="2"/>
        <v>1833.14098</v>
      </c>
      <c r="K72" s="181">
        <v>0</v>
      </c>
      <c r="L72" s="181">
        <v>1183.60098</v>
      </c>
      <c r="M72" s="187">
        <v>649.54</v>
      </c>
    </row>
    <row r="73" spans="1:13" ht="14.25">
      <c r="A73" s="202" t="s">
        <v>166</v>
      </c>
      <c r="B73" s="198">
        <f t="shared" si="1"/>
        <v>297.16667</v>
      </c>
      <c r="C73" s="181">
        <v>0</v>
      </c>
      <c r="D73" s="181">
        <v>297.16667</v>
      </c>
      <c r="E73" s="187">
        <v>0</v>
      </c>
      <c r="F73" s="195">
        <f t="shared" si="5"/>
        <v>305.8</v>
      </c>
      <c r="G73" s="181">
        <v>0</v>
      </c>
      <c r="H73" s="181">
        <v>305.8</v>
      </c>
      <c r="I73" s="187">
        <v>0</v>
      </c>
      <c r="J73" s="195">
        <f t="shared" si="2"/>
        <v>297.891</v>
      </c>
      <c r="K73" s="181">
        <v>0</v>
      </c>
      <c r="L73" s="181">
        <v>297.891</v>
      </c>
      <c r="M73" s="187">
        <v>0</v>
      </c>
    </row>
    <row r="74" spans="1:13" s="178" customFormat="1" ht="15">
      <c r="A74" s="203" t="s">
        <v>158</v>
      </c>
      <c r="B74" s="229">
        <f t="shared" si="1"/>
        <v>2308.00369</v>
      </c>
      <c r="C74" s="177">
        <f>C76+C77</f>
        <v>0</v>
      </c>
      <c r="D74" s="177">
        <f>D76+D77</f>
        <v>799.7387799999999</v>
      </c>
      <c r="E74" s="177">
        <f>E76+E77</f>
        <v>1508.26491</v>
      </c>
      <c r="F74" s="236">
        <f t="shared" si="5"/>
        <v>3709.86064</v>
      </c>
      <c r="G74" s="177">
        <f>G76+G77</f>
        <v>0</v>
      </c>
      <c r="H74" s="177">
        <f>H76+H77</f>
        <v>915</v>
      </c>
      <c r="I74" s="177">
        <f>I76+I77</f>
        <v>2794.86064</v>
      </c>
      <c r="J74" s="236">
        <f t="shared" si="2"/>
        <v>1709.44728</v>
      </c>
      <c r="K74" s="177">
        <f>K76+K77</f>
        <v>0</v>
      </c>
      <c r="L74" s="177">
        <f>L76+L77</f>
        <v>662.28837</v>
      </c>
      <c r="M74" s="177">
        <f>M76+M77</f>
        <v>1047.15891</v>
      </c>
    </row>
    <row r="75" spans="1:13" s="180" customFormat="1" ht="14.25">
      <c r="A75" s="201" t="s">
        <v>161</v>
      </c>
      <c r="B75" s="198">
        <f t="shared" si="1"/>
        <v>0</v>
      </c>
      <c r="C75" s="179"/>
      <c r="D75" s="179"/>
      <c r="E75" s="186"/>
      <c r="F75" s="195"/>
      <c r="G75" s="179"/>
      <c r="H75" s="179"/>
      <c r="I75" s="186"/>
      <c r="J75" s="195"/>
      <c r="K75" s="179"/>
      <c r="L75" s="179"/>
      <c r="M75" s="186"/>
    </row>
    <row r="76" spans="1:13" s="180" customFormat="1" ht="14.25">
      <c r="A76" s="202" t="s">
        <v>163</v>
      </c>
      <c r="B76" s="198">
        <f t="shared" si="1"/>
        <v>1158.38206</v>
      </c>
      <c r="C76" s="179"/>
      <c r="D76" s="179">
        <v>466.53878</v>
      </c>
      <c r="E76" s="186">
        <v>691.84328</v>
      </c>
      <c r="F76" s="195">
        <f t="shared" si="5"/>
        <v>1367.06464</v>
      </c>
      <c r="G76" s="179">
        <v>0</v>
      </c>
      <c r="H76" s="179">
        <v>512.9</v>
      </c>
      <c r="I76" s="186">
        <v>854.16464</v>
      </c>
      <c r="J76" s="195">
        <f t="shared" si="2"/>
        <v>794.52178</v>
      </c>
      <c r="K76" s="179">
        <v>0</v>
      </c>
      <c r="L76" s="179">
        <v>288.28837</v>
      </c>
      <c r="M76" s="186">
        <v>506.23341</v>
      </c>
    </row>
    <row r="77" spans="1:13" ht="14.25">
      <c r="A77" s="202" t="s">
        <v>164</v>
      </c>
      <c r="B77" s="198">
        <f t="shared" si="1"/>
        <v>1149.62163</v>
      </c>
      <c r="C77" s="181"/>
      <c r="D77" s="181">
        <v>333.2</v>
      </c>
      <c r="E77" s="187">
        <v>816.42163</v>
      </c>
      <c r="F77" s="195">
        <f t="shared" si="5"/>
        <v>2342.796</v>
      </c>
      <c r="G77" s="181">
        <v>0</v>
      </c>
      <c r="H77" s="181">
        <v>402.1</v>
      </c>
      <c r="I77" s="187">
        <v>1940.696</v>
      </c>
      <c r="J77" s="195">
        <f t="shared" si="2"/>
        <v>914.9255</v>
      </c>
      <c r="K77" s="181">
        <v>0</v>
      </c>
      <c r="L77" s="181">
        <v>374</v>
      </c>
      <c r="M77" s="187">
        <v>540.9255</v>
      </c>
    </row>
    <row r="78" spans="1:13" ht="14.25">
      <c r="A78" s="201" t="s">
        <v>162</v>
      </c>
      <c r="B78" s="198">
        <f t="shared" si="1"/>
        <v>0</v>
      </c>
      <c r="C78" s="181">
        <v>0</v>
      </c>
      <c r="D78" s="181">
        <v>0</v>
      </c>
      <c r="E78" s="187">
        <v>0</v>
      </c>
      <c r="F78" s="195">
        <f t="shared" si="5"/>
        <v>0</v>
      </c>
      <c r="G78" s="181">
        <v>0</v>
      </c>
      <c r="H78" s="181"/>
      <c r="I78" s="187"/>
      <c r="J78" s="195">
        <f t="shared" si="2"/>
        <v>0</v>
      </c>
      <c r="K78" s="181">
        <v>0</v>
      </c>
      <c r="L78" s="181"/>
      <c r="M78" s="187"/>
    </row>
    <row r="79" spans="1:13" s="178" customFormat="1" ht="15">
      <c r="A79" s="203" t="s">
        <v>159</v>
      </c>
      <c r="B79" s="229">
        <f t="shared" si="1"/>
        <v>755.3147</v>
      </c>
      <c r="C79" s="177">
        <f>C81+C82</f>
        <v>0</v>
      </c>
      <c r="D79" s="177">
        <f>D81+D82</f>
        <v>0</v>
      </c>
      <c r="E79" s="177">
        <f>E81+E82</f>
        <v>755.3147</v>
      </c>
      <c r="F79" s="195">
        <f>SUM(G79:I79)</f>
        <v>942.3355300000001</v>
      </c>
      <c r="G79" s="177">
        <f>G81+G82</f>
        <v>0</v>
      </c>
      <c r="H79" s="177">
        <f>H81+H82</f>
        <v>50</v>
      </c>
      <c r="I79" s="177">
        <f>I81+I82</f>
        <v>892.3355300000001</v>
      </c>
      <c r="J79" s="195">
        <f t="shared" si="2"/>
        <v>585.48713</v>
      </c>
      <c r="K79" s="177">
        <f>K81+K82</f>
        <v>0</v>
      </c>
      <c r="L79" s="177">
        <f>L81+L82</f>
        <v>50</v>
      </c>
      <c r="M79" s="177">
        <f>M81+M82</f>
        <v>535.48713</v>
      </c>
    </row>
    <row r="80" spans="1:13" s="180" customFormat="1" ht="15">
      <c r="A80" s="201" t="s">
        <v>161</v>
      </c>
      <c r="B80" s="229"/>
      <c r="C80" s="231"/>
      <c r="D80" s="231"/>
      <c r="E80" s="231"/>
      <c r="F80" s="195"/>
      <c r="G80" s="179"/>
      <c r="H80" s="179"/>
      <c r="I80" s="186"/>
      <c r="J80" s="195"/>
      <c r="K80" s="179"/>
      <c r="L80" s="179"/>
      <c r="M80" s="186"/>
    </row>
    <row r="81" spans="1:13" s="180" customFormat="1" ht="14.25">
      <c r="A81" s="202" t="s">
        <v>163</v>
      </c>
      <c r="B81" s="198">
        <v>0</v>
      </c>
      <c r="C81" s="179">
        <v>0</v>
      </c>
      <c r="D81" s="179">
        <v>0</v>
      </c>
      <c r="E81" s="186">
        <v>435.99531</v>
      </c>
      <c r="F81" s="195">
        <f aca="true" t="shared" si="6" ref="F81:F88">SUM(G81:I81)</f>
        <v>476.53553</v>
      </c>
      <c r="G81" s="179">
        <v>0</v>
      </c>
      <c r="H81" s="179">
        <v>0</v>
      </c>
      <c r="I81" s="186">
        <v>476.53553</v>
      </c>
      <c r="J81" s="195">
        <f>SUM(K81:M81)</f>
        <v>258.56597</v>
      </c>
      <c r="K81" s="179">
        <v>0</v>
      </c>
      <c r="L81" s="179">
        <v>0</v>
      </c>
      <c r="M81" s="186">
        <v>258.56597</v>
      </c>
    </row>
    <row r="82" spans="1:13" ht="14.25">
      <c r="A82" s="202" t="s">
        <v>164</v>
      </c>
      <c r="B82" s="198">
        <f t="shared" si="1"/>
        <v>319.31939</v>
      </c>
      <c r="C82" s="181">
        <v>0</v>
      </c>
      <c r="D82" s="181">
        <v>0</v>
      </c>
      <c r="E82" s="187">
        <v>319.31939</v>
      </c>
      <c r="F82" s="195">
        <f t="shared" si="6"/>
        <v>465.8</v>
      </c>
      <c r="G82" s="181">
        <v>0</v>
      </c>
      <c r="H82" s="181">
        <v>50</v>
      </c>
      <c r="I82" s="187">
        <f>465.8-50</f>
        <v>415.8</v>
      </c>
      <c r="J82" s="195">
        <f t="shared" si="2"/>
        <v>326.92116</v>
      </c>
      <c r="K82" s="181">
        <v>0</v>
      </c>
      <c r="L82" s="181">
        <v>50</v>
      </c>
      <c r="M82" s="187">
        <f>326.92116-50</f>
        <v>276.92116</v>
      </c>
    </row>
    <row r="83" spans="1:13" ht="14.25">
      <c r="A83" s="201" t="s">
        <v>162</v>
      </c>
      <c r="B83" s="198">
        <f t="shared" si="1"/>
        <v>0</v>
      </c>
      <c r="C83" s="181"/>
      <c r="D83" s="181"/>
      <c r="E83" s="187"/>
      <c r="F83" s="195">
        <f t="shared" si="6"/>
        <v>0</v>
      </c>
      <c r="G83" s="181"/>
      <c r="H83" s="181"/>
      <c r="I83" s="187"/>
      <c r="J83" s="195">
        <f t="shared" si="2"/>
        <v>0</v>
      </c>
      <c r="K83" s="181"/>
      <c r="L83" s="181"/>
      <c r="M83" s="187"/>
    </row>
    <row r="84" spans="1:13" s="178" customFormat="1" ht="30" hidden="1">
      <c r="A84" s="203" t="s">
        <v>160</v>
      </c>
      <c r="B84" s="198">
        <f t="shared" si="1"/>
        <v>0</v>
      </c>
      <c r="C84" s="177"/>
      <c r="D84" s="177"/>
      <c r="E84" s="185"/>
      <c r="F84" s="195">
        <f t="shared" si="6"/>
        <v>0</v>
      </c>
      <c r="G84" s="177"/>
      <c r="H84" s="177"/>
      <c r="I84" s="185"/>
      <c r="J84" s="195">
        <f t="shared" si="2"/>
        <v>0</v>
      </c>
      <c r="K84" s="177"/>
      <c r="L84" s="177"/>
      <c r="M84" s="185"/>
    </row>
    <row r="85" spans="1:13" s="180" customFormat="1" ht="14.25" hidden="1">
      <c r="A85" s="201" t="s">
        <v>161</v>
      </c>
      <c r="B85" s="198">
        <f t="shared" si="1"/>
        <v>0</v>
      </c>
      <c r="C85" s="179"/>
      <c r="D85" s="179"/>
      <c r="E85" s="186"/>
      <c r="F85" s="195">
        <f t="shared" si="6"/>
        <v>0</v>
      </c>
      <c r="G85" s="179"/>
      <c r="H85" s="179"/>
      <c r="I85" s="186"/>
      <c r="J85" s="195">
        <f t="shared" si="2"/>
        <v>0</v>
      </c>
      <c r="K85" s="179"/>
      <c r="L85" s="179"/>
      <c r="M85" s="186"/>
    </row>
    <row r="86" spans="1:13" ht="14.25" hidden="1">
      <c r="A86" s="202" t="s">
        <v>169</v>
      </c>
      <c r="B86" s="198">
        <f t="shared" si="1"/>
        <v>0</v>
      </c>
      <c r="C86" s="181"/>
      <c r="D86" s="181"/>
      <c r="E86" s="187"/>
      <c r="F86" s="195">
        <f t="shared" si="6"/>
        <v>0</v>
      </c>
      <c r="G86" s="181"/>
      <c r="H86" s="181"/>
      <c r="I86" s="187"/>
      <c r="J86" s="195">
        <f t="shared" si="2"/>
        <v>0</v>
      </c>
      <c r="K86" s="181"/>
      <c r="L86" s="181"/>
      <c r="M86" s="187"/>
    </row>
    <row r="87" spans="1:13" ht="14.25" hidden="1">
      <c r="A87" s="204"/>
      <c r="B87" s="199">
        <f t="shared" si="1"/>
        <v>0</v>
      </c>
      <c r="C87" s="183"/>
      <c r="D87" s="183"/>
      <c r="E87" s="189"/>
      <c r="F87" s="196">
        <f t="shared" si="6"/>
        <v>0</v>
      </c>
      <c r="G87" s="183"/>
      <c r="H87" s="183"/>
      <c r="I87" s="189"/>
      <c r="J87" s="196">
        <f t="shared" si="2"/>
        <v>0</v>
      </c>
      <c r="K87" s="183"/>
      <c r="L87" s="183"/>
      <c r="M87" s="189"/>
    </row>
    <row r="88" spans="1:13" s="178" customFormat="1" ht="15">
      <c r="A88" s="184" t="s">
        <v>106</v>
      </c>
      <c r="B88" s="232">
        <f t="shared" si="1"/>
        <v>219726.32308</v>
      </c>
      <c r="C88" s="190">
        <f>C8+C18+C23+C31+C38+C45+C48+C58+C68+C74+C79</f>
        <v>18819.90813</v>
      </c>
      <c r="D88" s="190">
        <f>D8+D18+D23+D31+D38+D45+D48+D58+D68+D74+D79</f>
        <v>96650.74956</v>
      </c>
      <c r="E88" s="190">
        <f>E8+E18+E23+E31+E38+E45+E48+E58+E68+E74+E79</f>
        <v>104255.66539</v>
      </c>
      <c r="F88" s="240">
        <f t="shared" si="6"/>
        <v>369599.08854</v>
      </c>
      <c r="G88" s="190">
        <f>G8+G18+G23+G31+G38+G45+G48+G58+G68+G74+G79</f>
        <v>115392.70923</v>
      </c>
      <c r="H88" s="242">
        <f>H8+H18+H23+H31+H38+H45+H48+H58+H68+H74+H79</f>
        <v>126972.07959000001</v>
      </c>
      <c r="I88" s="242">
        <f>I8+I18+I23+I31+I38+I45+I48+I58+I68+I74+I79</f>
        <v>127234.29972000001</v>
      </c>
      <c r="J88" s="240">
        <f t="shared" si="2"/>
        <v>168908.93289499998</v>
      </c>
      <c r="K88" s="190">
        <f>K8+K18+K23+K31+K38+K48+K58+K68+K74+K79</f>
        <v>45616.071025</v>
      </c>
      <c r="L88" s="190">
        <f>L8+L18+L23+L31+L38+L48+L58+L68+L74+L79</f>
        <v>58115.089179999995</v>
      </c>
      <c r="M88" s="190">
        <f>M8+M18+M23+M31+M38+M48+M58+M68+M74+M79</f>
        <v>65177.77269</v>
      </c>
    </row>
    <row r="90" spans="8:9" ht="12.75">
      <c r="H90" s="241"/>
      <c r="I90" s="241"/>
    </row>
  </sheetData>
  <sheetProtection/>
  <mergeCells count="6">
    <mergeCell ref="A5:A7"/>
    <mergeCell ref="A3:M3"/>
    <mergeCell ref="B5:E6"/>
    <mergeCell ref="F5:M5"/>
    <mergeCell ref="F6:I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2022-11-18T09:29:01Z</cp:lastPrinted>
  <dcterms:created xsi:type="dcterms:W3CDTF">2009-02-10T04:49:18Z</dcterms:created>
  <dcterms:modified xsi:type="dcterms:W3CDTF">2022-11-18T09:29:04Z</dcterms:modified>
  <cp:category/>
  <cp:version/>
  <cp:contentType/>
  <cp:contentStatus/>
</cp:coreProperties>
</file>