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20" windowHeight="8565" tabRatio="618" firstSheet="5" activeTab="5"/>
  </bookViews>
  <sheets>
    <sheet name="Форма 5.1." sheetId="1" state="hidden" r:id="rId1"/>
    <sheet name="Форма 5.2." sheetId="2" state="hidden" r:id="rId2"/>
    <sheet name="Форма 5.3." sheetId="3" state="hidden" r:id="rId3"/>
    <sheet name="Форма 5.4." sheetId="4" state="hidden" r:id="rId4"/>
    <sheet name="Форма 5.5." sheetId="5" state="hidden" r:id="rId5"/>
    <sheet name="Форма 5.5 " sheetId="6" r:id="rId6"/>
    <sheet name="Форма 5.7." sheetId="7" state="hidden" r:id="rId7"/>
  </sheets>
  <definedNames>
    <definedName name="Z_50E4C655_CE22_4AB9_8F72_5E0E98645600_.wvu.PrintArea" localSheetId="0" hidden="1">'Форма 5.1.'!$A$1:$G$64</definedName>
    <definedName name="Z_50E4C655_CE22_4AB9_8F72_5E0E98645600_.wvu.PrintTitles" localSheetId="0" hidden="1">'Форма 5.1.'!$8:$11</definedName>
    <definedName name="Z_50E4C655_CE22_4AB9_8F72_5E0E98645600_.wvu.Rows" localSheetId="0" hidden="1">'Форма 5.1.'!#REF!</definedName>
    <definedName name="Z_5C43AB11_EAE2_4A0C_9E3B_F5D49D7C537D_.wvu.PrintArea" localSheetId="0" hidden="1">'Форма 5.1.'!$A$1:$E$64</definedName>
    <definedName name="Z_5C43AB11_EAE2_4A0C_9E3B_F5D49D7C537D_.wvu.PrintTitles" localSheetId="0" hidden="1">'Форма 5.1.'!$8:$11</definedName>
    <definedName name="Z_5C43AB11_EAE2_4A0C_9E3B_F5D49D7C537D_.wvu.Rows" localSheetId="0" hidden="1">'Форма 5.1.'!#REF!</definedName>
    <definedName name="Z_784AE35D_4A42_4ACF_B96A_AEA7554C0E6C_.wvu.PrintArea" localSheetId="0" hidden="1">'Форма 5.1.'!$A$1:$E$64</definedName>
    <definedName name="Z_784AE35D_4A42_4ACF_B96A_AEA7554C0E6C_.wvu.PrintTitles" localSheetId="0" hidden="1">'Форма 5.1.'!$8:$11</definedName>
    <definedName name="Z_784AE35D_4A42_4ACF_B96A_AEA7554C0E6C_.wvu.Rows" localSheetId="0" hidden="1">'Форма 5.1.'!#REF!</definedName>
    <definedName name="Z_88120B8C_E583_49BB_8826_7D467D60C82D_.wvu.PrintArea" localSheetId="0" hidden="1">'Форма 5.1.'!$A$1:$E$64</definedName>
    <definedName name="Z_88120B8C_E583_49BB_8826_7D467D60C82D_.wvu.PrintTitles" localSheetId="0" hidden="1">'Форма 5.1.'!$8:$11</definedName>
    <definedName name="Z_88120B8C_E583_49BB_8826_7D467D60C82D_.wvu.Rows" localSheetId="0" hidden="1">'Форма 5.1.'!#REF!</definedName>
    <definedName name="_xlnm.Print_Titles" localSheetId="0">'Форма 5.1.'!$8:$11</definedName>
    <definedName name="_xlnm.Print_Area" localSheetId="0">'Форма 5.1.'!$A$1:$G$64</definedName>
    <definedName name="_xlnm.Print_Area" localSheetId="2">'Форма 5.3.'!$A$1:$K$22</definedName>
  </definedNames>
  <calcPr fullCalcOnLoad="1"/>
</workbook>
</file>

<file path=xl/sharedStrings.xml><?xml version="1.0" encoding="utf-8"?>
<sst xmlns="http://schemas.openxmlformats.org/spreadsheetml/2006/main" count="459" uniqueCount="269">
  <si>
    <t>Начисления на выплаты по оплате труда</t>
  </si>
  <si>
    <t>в том числе:</t>
  </si>
  <si>
    <t>Руководитель финансового органа</t>
  </si>
  <si>
    <t>х</t>
  </si>
  <si>
    <t>в том числе</t>
  </si>
  <si>
    <t>Наименование показателей</t>
  </si>
  <si>
    <t>(наименование муниципального образования)</t>
  </si>
  <si>
    <t xml:space="preserve">    в том числе</t>
  </si>
  <si>
    <t>1. Общегосударственные вопросы</t>
  </si>
  <si>
    <t>Заработная плата</t>
  </si>
  <si>
    <t>тыс. руб</t>
  </si>
  <si>
    <t>Наименование поселения</t>
  </si>
  <si>
    <t>Доходы</t>
  </si>
  <si>
    <t>в т.ч. налоговые и неналоговые доходы</t>
  </si>
  <si>
    <t>Расходы</t>
  </si>
  <si>
    <t>Дефицит (-), профицит (+)</t>
  </si>
  <si>
    <t>Дефицит (-) в %%</t>
  </si>
  <si>
    <t>ИТОГО</t>
  </si>
  <si>
    <t>Исполнитель</t>
  </si>
  <si>
    <t>1. Налоговые и неналоговые доходы всего:</t>
  </si>
  <si>
    <t>СПРАВОЧНО:</t>
  </si>
  <si>
    <t>Доп.норматив от НДФЛ (%%)</t>
  </si>
  <si>
    <t>Объем НДФЛ по допнормативу  (тыс. руб.)</t>
  </si>
  <si>
    <t>Объем НДФЛ без допнорматива (тыс. руб.)</t>
  </si>
  <si>
    <t>предельное значение, %%</t>
  </si>
  <si>
    <t>Источники финансирования дефицита</t>
  </si>
  <si>
    <t>Изменение остатков</t>
  </si>
  <si>
    <t>бюджетные кредиты</t>
  </si>
  <si>
    <t>кредиты коммерческих банков</t>
  </si>
  <si>
    <t>ценные бумаги</t>
  </si>
  <si>
    <t>Итого необеспеченный дефицит (обеспечен целевыми средствами)</t>
  </si>
  <si>
    <t>Муниципальный долг</t>
  </si>
  <si>
    <t>доходы всего на 1 жителя</t>
  </si>
  <si>
    <t>расходы всего на 1 жителя</t>
  </si>
  <si>
    <t xml:space="preserve">Штатная численность работников муниципальных учреждений  по полномочиям местного значения </t>
  </si>
  <si>
    <t xml:space="preserve">Численность работников органов местного самоуправления                 </t>
  </si>
  <si>
    <t>Количество муниципальных учреждений</t>
  </si>
  <si>
    <t>Штатная численность
(ед) - Среднегодовое (прогноз)</t>
  </si>
  <si>
    <t>2. Национальная оборона</t>
  </si>
  <si>
    <t>3. Национальная безопасность и правоохранительная деятельность</t>
  </si>
  <si>
    <t>4. Национальная экономика</t>
  </si>
  <si>
    <t>5. Жилищно-коммунальное хозяйство</t>
  </si>
  <si>
    <t>6. Охрана окружающей среды</t>
  </si>
  <si>
    <t>7. Образование</t>
  </si>
  <si>
    <t>8. Культура, кинематография</t>
  </si>
  <si>
    <t>9. Здравоохранение</t>
  </si>
  <si>
    <t>10. Социальная политика</t>
  </si>
  <si>
    <t>11. Физическая культура и спорт</t>
  </si>
  <si>
    <t>12. ВСЕГО</t>
  </si>
  <si>
    <t>в т.ч.</t>
  </si>
  <si>
    <t>налоговые доходы всего, из них:</t>
  </si>
  <si>
    <t>НДФЛ  всего</t>
  </si>
  <si>
    <t xml:space="preserve">акцизы </t>
  </si>
  <si>
    <t>УСН</t>
  </si>
  <si>
    <t>налог на имущество физических лиц</t>
  </si>
  <si>
    <t>земельный налог</t>
  </si>
  <si>
    <t>неналоговые доходы</t>
  </si>
  <si>
    <t>из них:</t>
  </si>
  <si>
    <t>доходы от использования имущества, находящегося в государственной и муниципальной собственности, из них</t>
  </si>
  <si>
    <t>арендная плата за земельные участки</t>
  </si>
  <si>
    <t xml:space="preserve">доходы от продажи материальных и нематериальных активов </t>
  </si>
  <si>
    <r>
      <t xml:space="preserve">2. Безвозмездные поступления, всего </t>
    </r>
    <r>
      <rPr>
        <b/>
        <u val="single"/>
        <sz val="11"/>
        <color indexed="8"/>
        <rFont val="Times New Roman"/>
        <family val="1"/>
      </rPr>
      <t>(нецелевые средства)</t>
    </r>
  </si>
  <si>
    <t>дотация на сбалансированность</t>
  </si>
  <si>
    <t>дотация ЗАТО из федерального бюджета</t>
  </si>
  <si>
    <t>1) первоочередные (без учета средств на софинансирование), в т.ч.</t>
  </si>
  <si>
    <t>ФОТ с начисл. к собственным доходам (%)</t>
  </si>
  <si>
    <t>2) непервоочередные (без учета средств на софинансирование), в т.ч.</t>
  </si>
  <si>
    <t xml:space="preserve">3. Расходы на условиях софинансирования </t>
  </si>
  <si>
    <t xml:space="preserve">расшифровать по всем направлениям с указанием уровня софинансирования </t>
  </si>
  <si>
    <t>…</t>
  </si>
  <si>
    <t>1.3) Обслуживание муниципального долга</t>
  </si>
  <si>
    <t>1.4.3) Коммунальные услуги</t>
  </si>
  <si>
    <t xml:space="preserve">1.4.4) Арендная плата за пользование имуществом </t>
  </si>
  <si>
    <t>1.4.2) Транспортные услуги</t>
  </si>
  <si>
    <t xml:space="preserve">1.4.1) Услуги связи </t>
  </si>
  <si>
    <t>1.4.5) Увеличение стоимости материальных запасов</t>
  </si>
  <si>
    <r>
      <t>Доходы всего</t>
    </r>
    <r>
      <rPr>
        <sz val="11"/>
        <color indexed="8"/>
        <rFont val="Times New Roman"/>
        <family val="1"/>
      </rPr>
      <t xml:space="preserve"> (налоговые и неналоговые доходы, нецелевая финансовая помощь ) </t>
    </r>
  </si>
  <si>
    <t>Работников казенных учреждений</t>
  </si>
  <si>
    <t>Работников бюджетных и автономных учрежедений</t>
  </si>
  <si>
    <t xml:space="preserve">                                                                                                                                                        (наименование муниципального образования)</t>
  </si>
  <si>
    <t>тыс. рублей</t>
  </si>
  <si>
    <t>наименование объекта</t>
  </si>
  <si>
    <t>ФБ</t>
  </si>
  <si>
    <t>ОБ</t>
  </si>
  <si>
    <t>МБ</t>
  </si>
  <si>
    <t>Информация по субсидиям юридическим лицам</t>
  </si>
  <si>
    <t>наименование муниципального образования</t>
  </si>
  <si>
    <t>РзПр</t>
  </si>
  <si>
    <t>Наименование субсидии</t>
  </si>
  <si>
    <t>Наименование должностей</t>
  </si>
  <si>
    <t xml:space="preserve">Муниципальные должности и должности муниципальной службы </t>
  </si>
  <si>
    <t xml:space="preserve">Муниципальные должности </t>
  </si>
  <si>
    <t xml:space="preserve">Должности муниципальной службы </t>
  </si>
  <si>
    <t>Должности работников ОМСУ, не являющихся муниципальными служащими</t>
  </si>
  <si>
    <t>Численность (шт.ед.)</t>
  </si>
  <si>
    <t>Численность (шт.ед)</t>
  </si>
  <si>
    <t>подпись</t>
  </si>
  <si>
    <t>расшифровка подписи</t>
  </si>
  <si>
    <t xml:space="preserve">Всего по ОМСУ </t>
  </si>
  <si>
    <t>Всего,  расходов    тыс. рублей</t>
  </si>
  <si>
    <t>Информация о численности и расходах на содержание ОМСУ  (без переданных полномочий)</t>
  </si>
  <si>
    <t>Заработная плата с начислениями (гр.5+гр.6)</t>
  </si>
  <si>
    <t>Заработная плата с начислениями (гр.10+гр.11)</t>
  </si>
  <si>
    <t>Фонд оплаты труда с начислениями тыс. рублей</t>
  </si>
  <si>
    <t xml:space="preserve">Объем Фонда финансовой поддержки муниципальных районов, городских округов </t>
  </si>
  <si>
    <t>Объекты капитального строительства (расшифровать)</t>
  </si>
  <si>
    <t>Итого:</t>
  </si>
  <si>
    <t>Всего:</t>
  </si>
  <si>
    <r>
      <t>1.1) Общий объём фонда оплаты труда с начислениями</t>
    </r>
    <r>
      <rPr>
        <b/>
        <sz val="14"/>
        <color indexed="8"/>
        <rFont val="Times New Roman"/>
        <family val="1"/>
      </rPr>
      <t xml:space="preserve"> * </t>
    </r>
  </si>
  <si>
    <r>
      <t>1.2) Иные выплаты (за исключением фонда оплаты труда)</t>
    </r>
    <r>
      <rPr>
        <b/>
        <sz val="14"/>
        <color indexed="8"/>
        <rFont val="Times New Roman"/>
        <family val="1"/>
      </rPr>
      <t xml:space="preserve"> * </t>
    </r>
  </si>
  <si>
    <t xml:space="preserve">2.2) Социальная помощь населению </t>
  </si>
  <si>
    <t>2.6) Расходы на увеличение стоимости основных средств</t>
  </si>
  <si>
    <r>
      <t xml:space="preserve">2.7) Субсидии на иные цели бюджетным и автономным учреждениям </t>
    </r>
    <r>
      <rPr>
        <i/>
        <sz val="11"/>
        <color indexed="8"/>
        <rFont val="Times New Roman"/>
        <family val="1"/>
      </rPr>
      <t>(за исключением расходов включённых в п.2.3- 2.6.)</t>
    </r>
  </si>
  <si>
    <r>
      <t xml:space="preserve">* </t>
    </r>
    <r>
      <rPr>
        <b/>
        <sz val="12"/>
        <color indexed="8"/>
        <rFont val="Times New Roman"/>
        <family val="1"/>
      </rPr>
      <t>Расходы казённых, бюджетных и автономных учреждений</t>
    </r>
  </si>
  <si>
    <t>2.8) Другие расходы (расшифровать)</t>
  </si>
  <si>
    <r>
      <t xml:space="preserve">1.4) Расходы на обеспечение муниципальных нужд </t>
    </r>
    <r>
      <rPr>
        <b/>
        <sz val="14"/>
        <color indexed="8"/>
        <rFont val="Times New Roman"/>
        <family val="1"/>
      </rPr>
      <t xml:space="preserve">* 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в т.ч.:
</t>
    </r>
  </si>
  <si>
    <t xml:space="preserve">Удельный вес первоочередных расходов в собственных доходах </t>
  </si>
  <si>
    <r>
      <t xml:space="preserve">1.5)  Налоги и сборы </t>
    </r>
    <r>
      <rPr>
        <b/>
        <sz val="14"/>
        <rFont val="Times New Roman"/>
        <family val="1"/>
      </rPr>
      <t>*</t>
    </r>
  </si>
  <si>
    <t>2.1) Субсидии юридическим лицам</t>
  </si>
  <si>
    <t xml:space="preserve">2.3) Расходы на капитальное строительство </t>
  </si>
  <si>
    <t>2.4.) Расходы на капитальный ремонт</t>
  </si>
  <si>
    <t>2.5) Расходы на приобретение объектов недвижимого имущества</t>
  </si>
  <si>
    <t>Объекты недвижимого имущества, приобретаемого в муниципальную собственность  (расшифровать)</t>
  </si>
  <si>
    <t>4. Дорожный фонд</t>
  </si>
  <si>
    <t>9=7/5</t>
  </si>
  <si>
    <t>* без ОМСУ</t>
  </si>
  <si>
    <t>3. Расходы - всего (без субвенций (за исключением субвенции по расчету и предоставлению дотаций поселениям), субсидий, иных МБТ )</t>
  </si>
  <si>
    <t>ИНФОРМАЦИЯ ПО ОБЪЕКТАМ КАПИТАЛЬНОГО СТРОИТЕЛЬСТВА И ОБЪЕКТАМ НЕДВИЖИМОГО ИМУЩЕСТВА, ПРИОБРЕТАЕМОГО В МУНИЦИПАЛЬНУЮ СОБСТВЕННОСТЬ</t>
  </si>
  <si>
    <t xml:space="preserve">Приложение № 5 к письму Департамента финансов                             Томской области                                            
</t>
  </si>
  <si>
    <t>Форма 5.1.</t>
  </si>
  <si>
    <t>Форма 5.2.</t>
  </si>
  <si>
    <t>Форма 5.3.</t>
  </si>
  <si>
    <t>Форма 5.4.</t>
  </si>
  <si>
    <t>Форма 5.5.</t>
  </si>
  <si>
    <t>Прочие безвозмездные поступления в бюджеты муниципальных районов</t>
  </si>
  <si>
    <t>Доходы от возврата организациями остатков субсидий прошлых лет</t>
  </si>
  <si>
    <t xml:space="preserve">дотации на выравнивание  бюджетной обеспеченности </t>
  </si>
  <si>
    <t>субвенции на переданые гос. полномочия по расчету и предоставлению дотаций бюджетам поселений</t>
  </si>
  <si>
    <t xml:space="preserve">из них </t>
  </si>
  <si>
    <t>плата за негативное воздействие на окружающую среду</t>
  </si>
  <si>
    <t>в том числе: расшифровать 1.4.5</t>
  </si>
  <si>
    <t>2022 год</t>
  </si>
  <si>
    <r>
      <t xml:space="preserve">Штатная численность и расходы на оплату труда работников муниципальных  учреждений *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</rPr>
      <t xml:space="preserve">(за счет налоговых и неналоговых доходов и нецелевой финансовой помощи из областного бюджета без учета работников органов местного самоуправления)        </t>
    </r>
    <r>
      <rPr>
        <b/>
        <sz val="14"/>
        <rFont val="Times New Roman"/>
        <family val="1"/>
      </rPr>
      <t xml:space="preserve">      </t>
    </r>
  </si>
  <si>
    <t xml:space="preserve">Штатная численность
(ед) </t>
  </si>
  <si>
    <t>1.4.6) Расходы на текущее содержание  муниципального имущества</t>
  </si>
  <si>
    <t xml:space="preserve">снижение нецелевых остатков в связи с направлением их на расходы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</si>
  <si>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</si>
  <si>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</si>
  <si>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</si>
  <si>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</si>
  <si>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</si>
  <si>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</si>
  <si>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</si>
  <si>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</si>
  <si>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 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</si>
  <si>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</si>
  <si>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</si>
  <si>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</si>
  <si>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</si>
  <si>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 том числе по видам расходов</t>
  </si>
  <si>
    <t>в том числе 243</t>
  </si>
  <si>
    <t>КВР 100</t>
  </si>
  <si>
    <t>КВР 200</t>
  </si>
  <si>
    <t>КВР 300</t>
  </si>
  <si>
    <t>КВР 400</t>
  </si>
  <si>
    <t>КВР 600</t>
  </si>
  <si>
    <t>в том числе 611, 621</t>
  </si>
  <si>
    <t>КВР 700</t>
  </si>
  <si>
    <t>КВР 800</t>
  </si>
  <si>
    <t>Всего</t>
  </si>
  <si>
    <t>Форма 5.7.</t>
  </si>
  <si>
    <t>2021 год (исполнено)</t>
  </si>
  <si>
    <t>План на 01.09.2022</t>
  </si>
  <si>
    <t>исполнено на 01.09.2022</t>
  </si>
  <si>
    <t xml:space="preserve">2022 год </t>
  </si>
  <si>
    <t>Основные параметры консолидированного бюджета в 2021 - 2022 годах</t>
  </si>
  <si>
    <t>2023 год</t>
  </si>
  <si>
    <t>от 09.09.2022 №50-02/18/1-305</t>
  </si>
  <si>
    <t>Темп роста 2023 к 2022 году</t>
  </si>
  <si>
    <t>Причины роста (снижения) плановых значений на 2023 годов к 2022  году</t>
  </si>
  <si>
    <t>Утверждено на 01.09.2022г.</t>
  </si>
  <si>
    <t>Проект 2023 год</t>
  </si>
  <si>
    <t>Темп роста всего расходов 2023/2022 (гр.8/гр.3)</t>
  </si>
  <si>
    <t>Темп роста заработной платы с начислениями 2023/2022 (гр.9/гр.4)</t>
  </si>
  <si>
    <t>Основные параметры бюджетов поселений на 2022-2023 годы</t>
  </si>
  <si>
    <t>Утверждено на 2022 год (по состоянию на 01.09.2022)</t>
  </si>
  <si>
    <t>Прогноз на 2023 год</t>
  </si>
  <si>
    <t>2021 год  (факт)</t>
  </si>
  <si>
    <t>2022 год (план)</t>
  </si>
  <si>
    <t>2023 год (заявленная потребность)</t>
  </si>
  <si>
    <t>Ожидаемое исполнение 
2022 год</t>
  </si>
  <si>
    <t>Проект 
2023 год</t>
  </si>
  <si>
    <t>административные штрафы за административные правонарушения в области охраны окружающей среды и природопользования</t>
  </si>
  <si>
    <t>5. Расходы на реализацию плана природоохранных мероприятий</t>
  </si>
  <si>
    <t>Штрафы, из них</t>
  </si>
  <si>
    <t>Налог, взимаемый в связи с применением патентной системы налогообложения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</si>
  <si>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</t>
  </si>
  <si>
    <t>Приобретение жилья детям сиротам:                          2021 год - 2 квартира, 2022 год - 2 квартира</t>
  </si>
  <si>
    <t>0412</t>
  </si>
  <si>
    <t>0502</t>
  </si>
  <si>
    <t>Предоставление субсидий ресурсоснабжающим организациям в целях частичного возмещения затрат, возникших при оказании услуг тепло-, водоснабжения и водоотведения на территории муниципального образования «Город Кедровый»</t>
  </si>
  <si>
    <t>Город Кедровый</t>
  </si>
  <si>
    <r>
      <t>______________</t>
    </r>
    <r>
      <rPr>
        <u val="single"/>
        <sz val="12"/>
        <color indexed="8"/>
        <rFont val="Times New Roman"/>
        <family val="1"/>
      </rPr>
      <t>Город Кедровый</t>
    </r>
    <r>
      <rPr>
        <sz val="12"/>
        <color indexed="8"/>
        <rFont val="Times New Roman"/>
        <family val="1"/>
      </rPr>
      <t>_______________</t>
    </r>
  </si>
  <si>
    <r>
      <t>консолидированный бюджет муниципального образования "</t>
    </r>
    <r>
      <rPr>
        <b/>
        <u val="single"/>
        <sz val="14"/>
        <rFont val="Times New Roman"/>
        <family val="1"/>
      </rPr>
      <t>Город Кедровый</t>
    </r>
    <r>
      <rPr>
        <b/>
        <sz val="14"/>
        <rFont val="Times New Roman"/>
        <family val="1"/>
      </rPr>
      <t>"</t>
    </r>
  </si>
  <si>
    <r>
      <t>консолидированный бюджет муниципального образования "</t>
    </r>
    <r>
      <rPr>
        <b/>
        <u val="single"/>
        <sz val="13"/>
        <rFont val="Times New Roman"/>
        <family val="1"/>
      </rPr>
      <t>Город Кедровый</t>
    </r>
    <r>
      <rPr>
        <b/>
        <sz val="13"/>
        <rFont val="Times New Roman"/>
        <family val="1"/>
      </rPr>
      <t>"</t>
    </r>
  </si>
  <si>
    <t>О.С. Барвенко</t>
  </si>
  <si>
    <t>Исполнитель (Устюжанина А.А., тлф 8(38250)35-516)</t>
  </si>
  <si>
    <t>Исполнитель: Устюжанина А.А., тел. 8(38250)35-516</t>
  </si>
  <si>
    <t>111,119,121,129</t>
  </si>
  <si>
    <t>112,113,122,123</t>
  </si>
  <si>
    <t>244/247</t>
  </si>
  <si>
    <t>Увеличение стоимости лекарственных препаратов и материалов, применяемых в медицинских целях (341)</t>
  </si>
  <si>
    <t>Увеличение стоимости продуктов питания (342)</t>
  </si>
  <si>
    <t>Увеличение стоимости горюче-смазочных материалов (343)</t>
  </si>
  <si>
    <t>Увеличение стоимости строительных материалов (344)</t>
  </si>
  <si>
    <t>Увеличение стоимости мягкого инвентаря (345)</t>
  </si>
  <si>
    <t>Увеличение стоимости прочих оборотных запасов (материалов) (346)</t>
  </si>
  <si>
    <t>Увеличение стоимости прочих материальных запасов однократного применения (349)</t>
  </si>
  <si>
    <t>465,243 кроме 310</t>
  </si>
  <si>
    <t>Государственная программа "Развитие молодежной политики, физической культуры и спорта в Томской области"</t>
  </si>
  <si>
    <t>Государственная программа "Развитие образования в Томской области"</t>
  </si>
  <si>
    <t>Государственна программа "Социальная поддержка населения Томской области"</t>
  </si>
  <si>
    <t>Государственная программа "Развитие коммунальной и коммуникационной инфраструктуры в Томской области"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</si>
  <si>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</si>
  <si>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Государственная программа "Комплексное развитие сельских территорий Томской области"</t>
  </si>
  <si>
    <t>Государственная программа "Развитие транспортной инфраструктуры в Томской области"</t>
  </si>
  <si>
    <t>Государственная программа "Жилье и городская среда Томской области"</t>
  </si>
  <si>
    <t>Государственная программа "Развитие сельского хозяйства, рынков сырья и продовольствия в Томской области"</t>
  </si>
  <si>
    <t xml:space="preserve"> Государственная программа "Обращение с отходами, в том числе с твердыми коммунальными отходами, на территории Томской области"</t>
  </si>
  <si>
    <t>Государственная программа "Реализация мероприятий муниципальных (подпрограмм), направленных на развитие малого и среднего препринимательства"</t>
  </si>
  <si>
    <t>Государственная программа "Благоустройства дворовых территорий основного мероприятия "Реализация комплексных проектов благоустройства муниципальных образований" в рамках программ "Жилье и городская среда в Томской области" за счет средств областного бюджета"</t>
  </si>
  <si>
    <t>Государственная программа "Улучшение инвестиционного климата и развитие экспорта Томской области"</t>
  </si>
  <si>
    <t>Государственная программа "Развитие культуры и туризма в Томской области"</t>
  </si>
  <si>
    <t>Государственная программа "Развитие предпринимательства в Томской области"</t>
  </si>
  <si>
    <t>прочие работы, услуги (226)</t>
  </si>
  <si>
    <t>Страхование (227)</t>
  </si>
  <si>
    <t>Услуги, работы для целей капитальных вложений (228)</t>
  </si>
  <si>
    <t>иные расходы (296)</t>
  </si>
  <si>
    <t>Иные выплаты текущего характера организациям (297)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</si>
  <si>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(353)</t>
  </si>
  <si>
    <t>резервные фонды и зарезервированные средства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</si>
  <si>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 (830)</t>
  </si>
  <si>
    <t>Специальные расходы (КВР 880)</t>
  </si>
  <si>
    <t>Увеличение стоимости материальных запасов для целей капитальных вложений (347)</t>
  </si>
  <si>
    <t>Реализация мероприятий муниципальных программ (подпрограмм), направленных на развитие малого и среднего предпринимательства</t>
  </si>
  <si>
    <t>Разработка ПСД на строительство новых канализационных очистных сооружений</t>
  </si>
  <si>
    <t>Разработка ПСД на строительство полигона твердых коммунальных отходов</t>
  </si>
  <si>
    <t>Разработка ПСД на строительство новой котельной в г. Кедровом</t>
  </si>
  <si>
    <t>численность на 01.01.2023 года (тыс. чел) с 3-мя знаками после запятой</t>
  </si>
  <si>
    <t xml:space="preserve"> Государственная программа "Охрана окружающей среды, воспроизводство и рациональное использование природных ресурсов",</t>
  </si>
  <si>
    <t xml:space="preserve"> </t>
  </si>
  <si>
    <t>-</t>
  </si>
  <si>
    <t>8=гр.7-гр.5</t>
  </si>
  <si>
    <t>МО</t>
  </si>
  <si>
    <t>ДФ</t>
  </si>
  <si>
    <t>по оценке МО</t>
  </si>
  <si>
    <t>по оценке ДФ</t>
  </si>
  <si>
    <t xml:space="preserve"> по оценке ДФ</t>
  </si>
  <si>
    <t>Темп роста 2024/2023 (в %)</t>
  </si>
  <si>
    <t>Прогноз на 2024 год                (тыс. руб.)</t>
  </si>
  <si>
    <t>Темп роста ожидаемого МО 2023 к исполнению 2022 года</t>
  </si>
  <si>
    <t>Темп роста ожидаемого ДФ 2023 к исполнению 2023 года</t>
  </si>
  <si>
    <t>Ожидаемое исполнение на 2023 год (тыс. руб.)</t>
  </si>
  <si>
    <t>Результат мероприятий по оздоровлению мун.х финансов проводимых в 2023 году</t>
  </si>
  <si>
    <t>Первоначальный план 2023 года</t>
  </si>
  <si>
    <t>Анализ ожидаемого исполнения консолидированного бюджета МО  Город Кедровый в 2023 году и прогноз на 2024 год
                                                  (без субвенций (за исключением субвенции по расчету и предоставлению дотаций поселениям), субсидий , иных МБТ из областного бюджета )</t>
  </si>
  <si>
    <t>Утверждено по состоянию на 01.10.2023</t>
  </si>
  <si>
    <t>Отклонение ожидаемого по оценке МО от плана на 01.10.2023</t>
  </si>
  <si>
    <t>Исполнитель: Главный специалист по бюджету Устюжанина Анна Алексеевна  (тел 8-38250-35-516)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</si>
</sst>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_ ;[Red]\-#,##0\ 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000"/>
    <numFmt numFmtId="186" formatCode="?"/>
    <numFmt numFmtId="187" formatCode="[$€-2]\ ###,000_);[Red]\([$€-2]\ ###,000\)"/>
    <numFmt numFmtId="188" formatCode="#,##0.0_р_."/>
    <numFmt numFmtId="189" formatCode="_-* #,##0.0_р_._-;\-* #,##0.0_р_._-;_-* &quot;-&quot;?_р_._-;_-@_-"/>
    <numFmt numFmtId="190" formatCode="[$-FC19]d\ mmmm\ yyyy\ &quot;г.&quot;"/>
    <numFmt numFmtId="191" formatCode="_-* #,##0_р_._-;\-* #,##0_р_._-;_-* &quot;-&quot;?_р_._-;_-@_-"/>
    <numFmt numFmtId="192" formatCode="#,##0.0_ ;\-#,##0.0\ "/>
    <numFmt numFmtId="193" formatCode="_-* #,##0.0\ _₽_-;\-* #,##0.0\ _₽_-;_-* &quot;-&quot;?\ _₽_-;_-@_-"/>
    <numFmt numFmtId="194" formatCode="#,##0.000_ ;\-#,##0.000\ "/>
  </numFmts>
  <fonts count="9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 CYR"/>
      <family val="1"/>
    </font>
    <font>
      <sz val="11.5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name val="Arial Cyr"/>
      <family val="0"/>
    </font>
    <font>
      <b/>
      <i/>
      <sz val="11"/>
      <color indexed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.5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PT Astra Sans"/>
      <family val="2"/>
    </font>
    <font>
      <b/>
      <sz val="11"/>
      <color indexed="8"/>
      <name val="PT Astra Sans"/>
      <family val="2"/>
    </font>
    <font>
      <b/>
      <sz val="10"/>
      <name val="PT Astra Sans"/>
      <family val="2"/>
    </font>
    <font>
      <i/>
      <sz val="11"/>
      <color indexed="8"/>
      <name val="PT Astra Sans"/>
      <family val="2"/>
    </font>
    <font>
      <i/>
      <sz val="10"/>
      <name val="PT Astra Sans"/>
      <family val="2"/>
    </font>
    <font>
      <sz val="11"/>
      <color indexed="8"/>
      <name val="PT Astra Sans"/>
      <family val="2"/>
    </font>
    <font>
      <sz val="11"/>
      <name val="PT Astra Sans"/>
      <family val="2"/>
    </font>
    <font>
      <b/>
      <sz val="16"/>
      <name val="PT Astra Serif"/>
      <family val="1"/>
    </font>
    <font>
      <u val="single"/>
      <sz val="12"/>
      <color indexed="8"/>
      <name val="Times New Roman"/>
      <family val="1"/>
    </font>
    <font>
      <b/>
      <u val="single"/>
      <sz val="13"/>
      <name val="Times New Roman"/>
      <family val="1"/>
    </font>
    <font>
      <b/>
      <u val="single"/>
      <sz val="14"/>
      <name val="Times New Roman"/>
      <family val="1"/>
    </font>
    <font>
      <i/>
      <sz val="11"/>
      <name val="Times New Roman CYR"/>
      <family val="0"/>
    </font>
    <font>
      <b/>
      <sz val="11"/>
      <name val="PT Astra Sans"/>
      <family val="0"/>
    </font>
    <font>
      <b/>
      <i/>
      <sz val="11"/>
      <color indexed="8"/>
      <name val="PT Astra Sans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33" borderId="11" xfId="0" applyFont="1" applyFill="1" applyBorder="1" applyAlignment="1">
      <alignment vertical="center" wrapText="1"/>
    </xf>
    <xf numFmtId="178" fontId="15" fillId="33" borderId="10" xfId="0" applyNumberFormat="1" applyFont="1" applyFill="1" applyBorder="1" applyAlignment="1">
      <alignment vertical="center"/>
    </xf>
    <xf numFmtId="180" fontId="15" fillId="33" borderId="10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180" fontId="1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1" fillId="0" borderId="10" xfId="0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77" fontId="9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89" fontId="3" fillId="33" borderId="11" xfId="0" applyNumberFormat="1" applyFont="1" applyFill="1" applyBorder="1" applyAlignment="1">
      <alignment vertical="center" wrapText="1"/>
    </xf>
    <xf numFmtId="189" fontId="15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 wrapText="1"/>
    </xf>
    <xf numFmtId="18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vertical="top" wrapText="1"/>
    </xf>
    <xf numFmtId="0" fontId="86" fillId="0" borderId="0" xfId="0" applyFont="1" applyAlignment="1">
      <alignment/>
    </xf>
    <xf numFmtId="0" fontId="86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87" fillId="0" borderId="0" xfId="0" applyFont="1" applyAlignment="1">
      <alignment/>
    </xf>
    <xf numFmtId="177" fontId="9" fillId="0" borderId="10" xfId="0" applyNumberFormat="1" applyFont="1" applyBorder="1" applyAlignment="1">
      <alignment horizontal="center" vertical="center"/>
    </xf>
    <xf numFmtId="0" fontId="77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6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86" fillId="0" borderId="10" xfId="0" applyFont="1" applyBorder="1" applyAlignment="1">
      <alignment horizontal="center" vertical="center"/>
    </xf>
    <xf numFmtId="0" fontId="34" fillId="0" borderId="0" xfId="0" applyFont="1" applyAlignment="1">
      <alignment/>
    </xf>
    <xf numFmtId="188" fontId="35" fillId="0" borderId="16" xfId="0" applyNumberFormat="1" applyFont="1" applyBorder="1" applyAlignment="1">
      <alignment vertical="center" wrapText="1"/>
    </xf>
    <xf numFmtId="0" fontId="36" fillId="0" borderId="0" xfId="0" applyFont="1" applyAlignment="1">
      <alignment/>
    </xf>
    <xf numFmtId="188" fontId="37" fillId="0" borderId="16" xfId="0" applyNumberFormat="1" applyFont="1" applyBorder="1" applyAlignment="1">
      <alignment vertical="center" wrapText="1"/>
    </xf>
    <xf numFmtId="0" fontId="38" fillId="0" borderId="0" xfId="0" applyFont="1" applyAlignment="1">
      <alignment/>
    </xf>
    <xf numFmtId="188" fontId="39" fillId="0" borderId="16" xfId="0" applyNumberFormat="1" applyFont="1" applyBorder="1" applyAlignment="1">
      <alignment vertical="center" wrapText="1"/>
    </xf>
    <xf numFmtId="188" fontId="40" fillId="0" borderId="16" xfId="0" applyNumberFormat="1" applyFont="1" applyBorder="1" applyAlignment="1">
      <alignment vertical="center" wrapText="1"/>
    </xf>
    <xf numFmtId="188" fontId="40" fillId="0" borderId="17" xfId="0" applyNumberFormat="1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188" fontId="35" fillId="0" borderId="18" xfId="0" applyNumberFormat="1" applyFont="1" applyBorder="1" applyAlignment="1">
      <alignment vertical="center" wrapText="1"/>
    </xf>
    <xf numFmtId="188" fontId="37" fillId="0" borderId="18" xfId="0" applyNumberFormat="1" applyFont="1" applyBorder="1" applyAlignment="1">
      <alignment vertical="center" wrapText="1"/>
    </xf>
    <xf numFmtId="188" fontId="39" fillId="0" borderId="18" xfId="0" applyNumberFormat="1" applyFont="1" applyBorder="1" applyAlignment="1">
      <alignment vertical="center" wrapText="1"/>
    </xf>
    <xf numFmtId="188" fontId="40" fillId="0" borderId="18" xfId="0" applyNumberFormat="1" applyFont="1" applyBorder="1" applyAlignment="1">
      <alignment vertical="center" wrapText="1"/>
    </xf>
    <xf numFmtId="188" fontId="40" fillId="0" borderId="19" xfId="0" applyNumberFormat="1" applyFont="1" applyBorder="1" applyAlignment="1">
      <alignment vertical="center" wrapText="1"/>
    </xf>
    <xf numFmtId="188" fontId="35" fillId="0" borderId="20" xfId="0" applyNumberFormat="1" applyFont="1" applyBorder="1" applyAlignment="1">
      <alignment vertical="center" wrapText="1"/>
    </xf>
    <xf numFmtId="188" fontId="35" fillId="0" borderId="21" xfId="0" applyNumberFormat="1" applyFont="1" applyBorder="1" applyAlignment="1">
      <alignment vertical="center" wrapText="1"/>
    </xf>
    <xf numFmtId="188" fontId="35" fillId="0" borderId="22" xfId="0" applyNumberFormat="1" applyFont="1" applyBorder="1" applyAlignment="1">
      <alignment horizontal="center" vertical="center" wrapText="1"/>
    </xf>
    <xf numFmtId="188" fontId="35" fillId="0" borderId="23" xfId="0" applyNumberFormat="1" applyFont="1" applyBorder="1" applyAlignment="1">
      <alignment horizontal="center" vertical="center" wrapText="1"/>
    </xf>
    <xf numFmtId="189" fontId="35" fillId="0" borderId="24" xfId="0" applyNumberFormat="1" applyFont="1" applyBorder="1" applyAlignment="1">
      <alignment vertical="center" wrapText="1"/>
    </xf>
    <xf numFmtId="189" fontId="39" fillId="0" borderId="25" xfId="0" applyNumberFormat="1" applyFont="1" applyBorder="1" applyAlignment="1">
      <alignment vertical="center" wrapText="1"/>
    </xf>
    <xf numFmtId="189" fontId="39" fillId="0" borderId="26" xfId="0" applyNumberFormat="1" applyFont="1" applyBorder="1" applyAlignment="1">
      <alignment vertical="center" wrapText="1"/>
    </xf>
    <xf numFmtId="189" fontId="35" fillId="0" borderId="27" xfId="0" applyNumberFormat="1" applyFont="1" applyBorder="1" applyAlignment="1">
      <alignment vertical="center" wrapText="1"/>
    </xf>
    <xf numFmtId="189" fontId="39" fillId="0" borderId="28" xfId="0" applyNumberFormat="1" applyFont="1" applyBorder="1" applyAlignment="1">
      <alignment vertical="center" wrapText="1"/>
    </xf>
    <xf numFmtId="189" fontId="39" fillId="0" borderId="29" xfId="0" applyNumberFormat="1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5" fillId="0" borderId="31" xfId="0" applyFont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189" fontId="15" fillId="0" borderId="0" xfId="0" applyNumberFormat="1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vertical="center"/>
    </xf>
    <xf numFmtId="193" fontId="0" fillId="0" borderId="0" xfId="0" applyNumberFormat="1" applyAlignment="1">
      <alignment vertical="center"/>
    </xf>
    <xf numFmtId="0" fontId="46" fillId="0" borderId="31" xfId="0" applyFont="1" applyBorder="1" applyAlignment="1">
      <alignment vertical="center" wrapText="1"/>
    </xf>
    <xf numFmtId="0" fontId="37" fillId="34" borderId="31" xfId="0" applyFont="1" applyFill="1" applyBorder="1" applyAlignment="1">
      <alignment vertical="center" wrapText="1"/>
    </xf>
    <xf numFmtId="189" fontId="35" fillId="0" borderId="28" xfId="0" applyNumberFormat="1" applyFont="1" applyBorder="1" applyAlignment="1">
      <alignment vertical="center" wrapText="1"/>
    </xf>
    <xf numFmtId="189" fontId="35" fillId="0" borderId="33" xfId="0" applyNumberFormat="1" applyFont="1" applyBorder="1" applyAlignment="1">
      <alignment vertical="center" wrapText="1"/>
    </xf>
    <xf numFmtId="188" fontId="47" fillId="0" borderId="16" xfId="0" applyNumberFormat="1" applyFont="1" applyBorder="1" applyAlignment="1">
      <alignment vertical="center" wrapText="1"/>
    </xf>
    <xf numFmtId="189" fontId="35" fillId="0" borderId="34" xfId="0" applyNumberFormat="1" applyFont="1" applyBorder="1" applyAlignment="1">
      <alignment vertical="center" wrapText="1"/>
    </xf>
    <xf numFmtId="188" fontId="46" fillId="0" borderId="16" xfId="0" applyNumberFormat="1" applyFont="1" applyBorder="1" applyAlignment="1">
      <alignment vertical="center" wrapText="1"/>
    </xf>
    <xf numFmtId="189" fontId="35" fillId="0" borderId="35" xfId="0" applyNumberFormat="1" applyFont="1" applyBorder="1" applyAlignment="1">
      <alignment vertical="center" wrapText="1"/>
    </xf>
    <xf numFmtId="188" fontId="35" fillId="0" borderId="21" xfId="0" applyNumberFormat="1" applyFont="1" applyBorder="1" applyAlignment="1">
      <alignment vertical="center" wrapText="1"/>
    </xf>
    <xf numFmtId="189" fontId="35" fillId="0" borderId="25" xfId="0" applyNumberFormat="1" applyFont="1" applyBorder="1" applyAlignment="1">
      <alignment vertical="center" wrapText="1"/>
    </xf>
    <xf numFmtId="189" fontId="39" fillId="0" borderId="25" xfId="0" applyNumberFormat="1" applyFont="1" applyBorder="1" applyAlignment="1">
      <alignment vertical="center" wrapText="1"/>
    </xf>
    <xf numFmtId="188" fontId="35" fillId="0" borderId="16" xfId="0" applyNumberFormat="1" applyFont="1" applyBorder="1" applyAlignment="1">
      <alignment vertical="center" wrapText="1"/>
    </xf>
    <xf numFmtId="188" fontId="39" fillId="0" borderId="16" xfId="0" applyNumberFormat="1" applyFont="1" applyBorder="1" applyAlignment="1">
      <alignment vertical="center" wrapText="1"/>
    </xf>
    <xf numFmtId="189" fontId="35" fillId="0" borderId="36" xfId="0" applyNumberFormat="1" applyFont="1" applyBorder="1" applyAlignment="1">
      <alignment vertical="center" wrapText="1"/>
    </xf>
    <xf numFmtId="178" fontId="34" fillId="0" borderId="0" xfId="0" applyNumberFormat="1" applyFont="1" applyAlignment="1">
      <alignment/>
    </xf>
    <xf numFmtId="188" fontId="35" fillId="34" borderId="20" xfId="0" applyNumberFormat="1" applyFont="1" applyFill="1" applyBorder="1" applyAlignment="1">
      <alignment vertical="center" wrapText="1"/>
    </xf>
    <xf numFmtId="177" fontId="11" fillId="34" borderId="10" xfId="0" applyNumberFormat="1" applyFont="1" applyFill="1" applyBorder="1" applyAlignment="1">
      <alignment/>
    </xf>
    <xf numFmtId="177" fontId="1" fillId="0" borderId="0" xfId="0" applyNumberFormat="1" applyFont="1" applyAlignment="1">
      <alignment/>
    </xf>
    <xf numFmtId="178" fontId="86" fillId="0" borderId="10" xfId="0" applyNumberFormat="1" applyFont="1" applyBorder="1" applyAlignment="1">
      <alignment vertical="center"/>
    </xf>
    <xf numFmtId="178" fontId="86" fillId="34" borderId="10" xfId="0" applyNumberFormat="1" applyFont="1" applyFill="1" applyBorder="1" applyAlignment="1">
      <alignment vertical="center"/>
    </xf>
    <xf numFmtId="193" fontId="5" fillId="0" borderId="15" xfId="0" applyNumberFormat="1" applyFont="1" applyFill="1" applyBorder="1" applyAlignment="1">
      <alignment horizontal="center" vertical="center" wrapText="1"/>
    </xf>
    <xf numFmtId="193" fontId="0" fillId="0" borderId="12" xfId="0" applyNumberFormat="1" applyBorder="1" applyAlignment="1">
      <alignment vertical="center"/>
    </xf>
    <xf numFmtId="189" fontId="15" fillId="34" borderId="10" xfId="0" applyNumberFormat="1" applyFont="1" applyFill="1" applyBorder="1" applyAlignment="1">
      <alignment vertical="center"/>
    </xf>
    <xf numFmtId="180" fontId="15" fillId="34" borderId="10" xfId="0" applyNumberFormat="1" applyFont="1" applyFill="1" applyBorder="1" applyAlignment="1">
      <alignment vertical="center"/>
    </xf>
    <xf numFmtId="4" fontId="45" fillId="34" borderId="10" xfId="53" applyNumberFormat="1" applyFont="1" applyFill="1" applyBorder="1" applyAlignment="1">
      <alignment vertical="center"/>
      <protection/>
    </xf>
    <xf numFmtId="4" fontId="49" fillId="34" borderId="0" xfId="53" applyNumberFormat="1" applyFont="1" applyFill="1" applyBorder="1" applyAlignment="1">
      <alignment vertical="center"/>
      <protection/>
    </xf>
    <xf numFmtId="4" fontId="45" fillId="34" borderId="0" xfId="53" applyNumberFormat="1" applyFont="1" applyFill="1" applyBorder="1" applyAlignment="1">
      <alignment vertical="center"/>
      <protection/>
    </xf>
    <xf numFmtId="0" fontId="69" fillId="0" borderId="0" xfId="53">
      <alignment/>
      <protection/>
    </xf>
    <xf numFmtId="0" fontId="3" fillId="0" borderId="0" xfId="53" applyFont="1" applyAlignment="1">
      <alignment horizontal="left" vertical="center"/>
      <protection/>
    </xf>
    <xf numFmtId="0" fontId="2" fillId="0" borderId="0" xfId="53" applyFont="1" applyAlignment="1">
      <alignment horizontal="left" vertical="top" wrapText="1"/>
      <protection/>
    </xf>
    <xf numFmtId="0" fontId="31" fillId="0" borderId="0" xfId="53" applyFont="1" applyBorder="1" applyAlignment="1">
      <alignment horizontal="left" vertical="center"/>
      <protection/>
    </xf>
    <xf numFmtId="4" fontId="31" fillId="0" borderId="0" xfId="53" applyNumberFormat="1" applyFont="1" applyBorder="1" applyAlignment="1">
      <alignment horizontal="left" vertical="center"/>
      <protection/>
    </xf>
    <xf numFmtId="4" fontId="21" fillId="34" borderId="0" xfId="53" applyNumberFormat="1" applyFont="1" applyFill="1" applyBorder="1" applyAlignment="1">
      <alignment horizontal="center" vertical="center"/>
      <protection/>
    </xf>
    <xf numFmtId="4" fontId="21" fillId="0" borderId="0" xfId="53" applyNumberFormat="1" applyFont="1" applyBorder="1" applyAlignment="1">
      <alignment horizontal="center" vertical="center"/>
      <protection/>
    </xf>
    <xf numFmtId="178" fontId="21" fillId="0" borderId="0" xfId="53" applyNumberFormat="1" applyFont="1" applyBorder="1" applyAlignment="1">
      <alignment horizontal="center" vertical="center"/>
      <protection/>
    </xf>
    <xf numFmtId="0" fontId="21" fillId="0" borderId="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22" fillId="0" borderId="16" xfId="53" applyFont="1" applyBorder="1" applyAlignment="1">
      <alignment horizontal="center" vertical="center" wrapText="1"/>
      <protection/>
    </xf>
    <xf numFmtId="0" fontId="18" fillId="0" borderId="16" xfId="53" applyFont="1" applyBorder="1" applyAlignment="1">
      <alignment horizontal="center" vertical="center" wrapText="1"/>
      <protection/>
    </xf>
    <xf numFmtId="0" fontId="18" fillId="0" borderId="16" xfId="53" applyFont="1" applyFill="1" applyBorder="1" applyAlignment="1">
      <alignment horizontal="center" vertical="center" wrapText="1"/>
      <protection/>
    </xf>
    <xf numFmtId="0" fontId="23" fillId="0" borderId="16" xfId="53" applyFont="1" applyFill="1" applyBorder="1" applyAlignment="1">
      <alignment horizontal="center" vertical="center" wrapText="1"/>
      <protection/>
    </xf>
    <xf numFmtId="0" fontId="18" fillId="0" borderId="21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/>
      <protection/>
    </xf>
    <xf numFmtId="0" fontId="24" fillId="35" borderId="16" xfId="53" applyFont="1" applyFill="1" applyBorder="1" applyAlignment="1">
      <alignment vertical="center" wrapText="1"/>
      <protection/>
    </xf>
    <xf numFmtId="188" fontId="24" fillId="35" borderId="16" xfId="53" applyNumberFormat="1" applyFont="1" applyFill="1" applyBorder="1" applyAlignment="1">
      <alignment vertical="center" wrapText="1"/>
      <protection/>
    </xf>
    <xf numFmtId="188" fontId="24" fillId="35" borderId="16" xfId="53" applyNumberFormat="1" applyFont="1" applyFill="1" applyBorder="1" applyAlignment="1">
      <alignment horizontal="center" vertical="center" wrapText="1"/>
      <protection/>
    </xf>
    <xf numFmtId="180" fontId="24" fillId="35" borderId="16" xfId="53" applyNumberFormat="1" applyFont="1" applyFill="1" applyBorder="1" applyAlignment="1">
      <alignment vertical="center" wrapText="1"/>
      <protection/>
    </xf>
    <xf numFmtId="0" fontId="24" fillId="36" borderId="16" xfId="53" applyNumberFormat="1" applyFont="1" applyFill="1" applyBorder="1" applyAlignment="1">
      <alignment vertical="center" wrapText="1"/>
      <protection/>
    </xf>
    <xf numFmtId="180" fontId="23" fillId="35" borderId="16" xfId="53" applyNumberFormat="1" applyFont="1" applyFill="1" applyBorder="1" applyAlignment="1">
      <alignment vertical="center" wrapText="1"/>
      <protection/>
    </xf>
    <xf numFmtId="0" fontId="24" fillId="37" borderId="16" xfId="53" applyFont="1" applyFill="1" applyBorder="1" applyAlignment="1">
      <alignment vertical="center" wrapText="1"/>
      <protection/>
    </xf>
    <xf numFmtId="188" fontId="24" fillId="37" borderId="16" xfId="53" applyNumberFormat="1" applyFont="1" applyFill="1" applyBorder="1" applyAlignment="1">
      <alignment vertical="center" wrapText="1"/>
      <protection/>
    </xf>
    <xf numFmtId="188" fontId="24" fillId="37" borderId="16" xfId="53" applyNumberFormat="1" applyFont="1" applyFill="1" applyBorder="1" applyAlignment="1">
      <alignment horizontal="center" vertical="center" wrapText="1"/>
      <protection/>
    </xf>
    <xf numFmtId="188" fontId="24" fillId="37" borderId="16" xfId="53" applyNumberFormat="1" applyFont="1" applyFill="1" applyBorder="1" applyAlignment="1">
      <alignment horizontal="right" vertical="center" wrapText="1"/>
      <protection/>
    </xf>
    <xf numFmtId="180" fontId="24" fillId="37" borderId="16" xfId="53" applyNumberFormat="1" applyFont="1" applyFill="1" applyBorder="1" applyAlignment="1">
      <alignment vertical="center" wrapText="1"/>
      <protection/>
    </xf>
    <xf numFmtId="180" fontId="23" fillId="37" borderId="16" xfId="53" applyNumberFormat="1" applyFont="1" applyFill="1" applyBorder="1" applyAlignment="1">
      <alignment vertical="center" wrapText="1"/>
      <protection/>
    </xf>
    <xf numFmtId="0" fontId="23" fillId="0" borderId="16" xfId="53" applyFont="1" applyBorder="1" applyAlignment="1">
      <alignment vertical="center" wrapText="1"/>
      <protection/>
    </xf>
    <xf numFmtId="189" fontId="23" fillId="0" borderId="16" xfId="53" applyNumberFormat="1" applyFont="1" applyBorder="1" applyAlignment="1">
      <alignment vertical="center" wrapText="1"/>
      <protection/>
    </xf>
    <xf numFmtId="188" fontId="23" fillId="0" borderId="16" xfId="53" applyNumberFormat="1" applyFont="1" applyBorder="1" applyAlignment="1">
      <alignment vertical="center" wrapText="1"/>
      <protection/>
    </xf>
    <xf numFmtId="188" fontId="23" fillId="0" borderId="16" xfId="53" applyNumberFormat="1" applyFont="1" applyBorder="1" applyAlignment="1">
      <alignment horizontal="center" vertical="center" wrapText="1"/>
      <protection/>
    </xf>
    <xf numFmtId="188" fontId="23" fillId="0" borderId="16" xfId="53" applyNumberFormat="1" applyFont="1" applyBorder="1" applyAlignment="1">
      <alignment horizontal="right" vertical="center" wrapText="1"/>
      <protection/>
    </xf>
    <xf numFmtId="180" fontId="23" fillId="0" borderId="16" xfId="53" applyNumberFormat="1" applyFont="1" applyBorder="1" applyAlignment="1">
      <alignment vertical="center" wrapText="1"/>
      <protection/>
    </xf>
    <xf numFmtId="188" fontId="23" fillId="34" borderId="16" xfId="53" applyNumberFormat="1" applyFont="1" applyFill="1" applyBorder="1" applyAlignment="1">
      <alignment vertical="center" wrapText="1"/>
      <protection/>
    </xf>
    <xf numFmtId="188" fontId="23" fillId="0" borderId="16" xfId="53" applyNumberFormat="1" applyFont="1" applyFill="1" applyBorder="1" applyAlignment="1">
      <alignment vertical="center" wrapText="1"/>
      <protection/>
    </xf>
    <xf numFmtId="188" fontId="23" fillId="0" borderId="16" xfId="53" applyNumberFormat="1" applyFont="1" applyFill="1" applyBorder="1" applyAlignment="1">
      <alignment horizontal="right" vertical="center" wrapText="1"/>
      <protection/>
    </xf>
    <xf numFmtId="180" fontId="23" fillId="0" borderId="16" xfId="53" applyNumberFormat="1" applyFont="1" applyFill="1" applyBorder="1" applyAlignment="1">
      <alignment vertical="center" wrapText="1"/>
      <protection/>
    </xf>
    <xf numFmtId="180" fontId="23" fillId="38" borderId="16" xfId="53" applyNumberFormat="1" applyFont="1" applyFill="1" applyBorder="1" applyAlignment="1">
      <alignment vertical="center" wrapText="1"/>
      <protection/>
    </xf>
    <xf numFmtId="0" fontId="25" fillId="0" borderId="16" xfId="53" applyFont="1" applyBorder="1" applyAlignment="1">
      <alignment vertical="center" wrapText="1"/>
      <protection/>
    </xf>
    <xf numFmtId="0" fontId="23" fillId="0" borderId="16" xfId="53" applyFont="1" applyFill="1" applyBorder="1" applyAlignment="1">
      <alignment vertical="center" wrapText="1"/>
      <protection/>
    </xf>
    <xf numFmtId="189" fontId="23" fillId="0" borderId="16" xfId="53" applyNumberFormat="1" applyFont="1" applyFill="1" applyBorder="1" applyAlignment="1">
      <alignment vertical="center" wrapText="1"/>
      <protection/>
    </xf>
    <xf numFmtId="0" fontId="25" fillId="0" borderId="16" xfId="53" applyFont="1" applyFill="1" applyBorder="1" applyAlignment="1">
      <alignment vertical="center" wrapText="1"/>
      <protection/>
    </xf>
    <xf numFmtId="0" fontId="24" fillId="39" borderId="16" xfId="53" applyFont="1" applyFill="1" applyBorder="1" applyAlignment="1">
      <alignment vertical="center" wrapText="1"/>
      <protection/>
    </xf>
    <xf numFmtId="189" fontId="24" fillId="39" borderId="16" xfId="53" applyNumberFormat="1" applyFont="1" applyFill="1" applyBorder="1" applyAlignment="1">
      <alignment vertical="center" wrapText="1"/>
      <protection/>
    </xf>
    <xf numFmtId="188" fontId="24" fillId="39" borderId="16" xfId="53" applyNumberFormat="1" applyFont="1" applyFill="1" applyBorder="1" applyAlignment="1">
      <alignment vertical="center" wrapText="1"/>
      <protection/>
    </xf>
    <xf numFmtId="188" fontId="24" fillId="39" borderId="16" xfId="53" applyNumberFormat="1" applyFont="1" applyFill="1" applyBorder="1" applyAlignment="1">
      <alignment horizontal="right" vertical="center" wrapText="1"/>
      <protection/>
    </xf>
    <xf numFmtId="180" fontId="24" fillId="39" borderId="16" xfId="53" applyNumberFormat="1" applyFont="1" applyFill="1" applyBorder="1" applyAlignment="1">
      <alignment vertical="center" wrapText="1"/>
      <protection/>
    </xf>
    <xf numFmtId="180" fontId="23" fillId="39" borderId="16" xfId="53" applyNumberFormat="1" applyFont="1" applyFill="1" applyBorder="1" applyAlignment="1">
      <alignment vertical="center" wrapText="1"/>
      <protection/>
    </xf>
    <xf numFmtId="2" fontId="23" fillId="0" borderId="16" xfId="53" applyNumberFormat="1" applyFont="1" applyBorder="1" applyAlignment="1">
      <alignment vertical="center" wrapText="1"/>
      <protection/>
    </xf>
    <xf numFmtId="192" fontId="23" fillId="0" borderId="16" xfId="53" applyNumberFormat="1" applyFont="1" applyBorder="1" applyAlignment="1">
      <alignment vertical="center" wrapText="1"/>
      <protection/>
    </xf>
    <xf numFmtId="192" fontId="23" fillId="34" borderId="16" xfId="53" applyNumberFormat="1" applyFont="1" applyFill="1" applyBorder="1" applyAlignment="1">
      <alignment vertical="center" wrapText="1"/>
      <protection/>
    </xf>
    <xf numFmtId="178" fontId="24" fillId="37" borderId="16" xfId="53" applyNumberFormat="1" applyFont="1" applyFill="1" applyBorder="1" applyAlignment="1">
      <alignment vertical="center" wrapText="1"/>
      <protection/>
    </xf>
    <xf numFmtId="189" fontId="25" fillId="0" borderId="16" xfId="53" applyNumberFormat="1" applyFont="1" applyBorder="1" applyAlignment="1">
      <alignment vertical="center" wrapText="1"/>
      <protection/>
    </xf>
    <xf numFmtId="188" fontId="25" fillId="0" borderId="16" xfId="53" applyNumberFormat="1" applyFont="1" applyBorder="1" applyAlignment="1">
      <alignment vertical="center" wrapText="1"/>
      <protection/>
    </xf>
    <xf numFmtId="188" fontId="24" fillId="35" borderId="16" xfId="53" applyNumberFormat="1" applyFont="1" applyFill="1" applyBorder="1" applyAlignment="1">
      <alignment horizontal="right" vertical="center" wrapText="1"/>
      <protection/>
    </xf>
    <xf numFmtId="0" fontId="24" fillId="35" borderId="16" xfId="53" applyFont="1" applyFill="1" applyBorder="1" applyAlignment="1">
      <alignment horizontal="left" vertical="center" wrapText="1" indent="1"/>
      <protection/>
    </xf>
    <xf numFmtId="189" fontId="24" fillId="35" borderId="16" xfId="53" applyNumberFormat="1" applyFont="1" applyFill="1" applyBorder="1" applyAlignment="1">
      <alignment horizontal="left" vertical="center" wrapText="1"/>
      <protection/>
    </xf>
    <xf numFmtId="188" fontId="24" fillId="35" borderId="16" xfId="53" applyNumberFormat="1" applyFont="1" applyFill="1" applyBorder="1" applyAlignment="1">
      <alignment horizontal="left" vertical="center" wrapText="1"/>
      <protection/>
    </xf>
    <xf numFmtId="180" fontId="69" fillId="35" borderId="16" xfId="53" applyNumberFormat="1" applyFill="1" applyBorder="1" applyAlignment="1">
      <alignment vertical="center"/>
      <protection/>
    </xf>
    <xf numFmtId="188" fontId="69" fillId="35" borderId="16" xfId="53" applyNumberFormat="1" applyFill="1" applyBorder="1" applyAlignment="1">
      <alignment vertical="center"/>
      <protection/>
    </xf>
    <xf numFmtId="0" fontId="24" fillId="37" borderId="17" xfId="53" applyFont="1" applyFill="1" applyBorder="1" applyAlignment="1">
      <alignment vertical="center" wrapText="1"/>
      <protection/>
    </xf>
    <xf numFmtId="188" fontId="24" fillId="37" borderId="17" xfId="53" applyNumberFormat="1" applyFont="1" applyFill="1" applyBorder="1" applyAlignment="1">
      <alignment vertical="center" wrapText="1"/>
      <protection/>
    </xf>
    <xf numFmtId="0" fontId="23" fillId="0" borderId="37" xfId="53" applyFont="1" applyBorder="1" applyAlignment="1">
      <alignment vertical="center" wrapText="1"/>
      <protection/>
    </xf>
    <xf numFmtId="0" fontId="16" fillId="0" borderId="0" xfId="53" applyFont="1" applyBorder="1">
      <alignment/>
      <protection/>
    </xf>
    <xf numFmtId="188" fontId="23" fillId="0" borderId="0" xfId="53" applyNumberFormat="1" applyFont="1" applyBorder="1" applyAlignment="1">
      <alignment vertical="center" wrapText="1"/>
      <protection/>
    </xf>
    <xf numFmtId="188" fontId="23" fillId="0" borderId="25" xfId="53" applyNumberFormat="1" applyFont="1" applyBorder="1" applyAlignment="1">
      <alignment vertical="center" wrapText="1"/>
      <protection/>
    </xf>
    <xf numFmtId="180" fontId="25" fillId="0" borderId="16" xfId="53" applyNumberFormat="1" applyFont="1" applyBorder="1" applyAlignment="1">
      <alignment vertical="center" wrapText="1"/>
      <protection/>
    </xf>
    <xf numFmtId="0" fontId="0" fillId="0" borderId="0" xfId="53" applyFont="1" applyBorder="1">
      <alignment/>
      <protection/>
    </xf>
    <xf numFmtId="4" fontId="45" fillId="34" borderId="0" xfId="54" applyNumberFormat="1" applyFont="1" applyFill="1" applyBorder="1" applyAlignment="1">
      <alignment vertical="center"/>
      <protection/>
    </xf>
    <xf numFmtId="188" fontId="19" fillId="0" borderId="16" xfId="53" applyNumberFormat="1" applyFont="1" applyBorder="1" applyAlignment="1">
      <alignment vertical="center" wrapText="1"/>
      <protection/>
    </xf>
    <xf numFmtId="180" fontId="19" fillId="0" borderId="16" xfId="53" applyNumberFormat="1" applyFont="1" applyBorder="1" applyAlignment="1">
      <alignment vertical="center" wrapText="1"/>
      <protection/>
    </xf>
    <xf numFmtId="0" fontId="2" fillId="0" borderId="37" xfId="53" applyFont="1" applyBorder="1" applyAlignment="1">
      <alignment horizontal="left" vertical="top" wrapText="1"/>
      <protection/>
    </xf>
    <xf numFmtId="189" fontId="23" fillId="0" borderId="0" xfId="53" applyNumberFormat="1" applyFont="1" applyBorder="1" applyAlignment="1">
      <alignment vertical="center" wrapText="1"/>
      <protection/>
    </xf>
    <xf numFmtId="188" fontId="2" fillId="0" borderId="0" xfId="53" applyNumberFormat="1" applyFont="1" applyBorder="1" applyAlignment="1">
      <alignment vertical="center" wrapText="1"/>
      <protection/>
    </xf>
    <xf numFmtId="177" fontId="23" fillId="0" borderId="0" xfId="53" applyNumberFormat="1" applyFont="1" applyBorder="1" applyAlignment="1">
      <alignment vertical="center" wrapText="1"/>
      <protection/>
    </xf>
    <xf numFmtId="177" fontId="2" fillId="0" borderId="0" xfId="53" applyNumberFormat="1" applyFont="1" applyBorder="1" applyAlignment="1">
      <alignment vertical="center" wrapText="1"/>
      <protection/>
    </xf>
    <xf numFmtId="177" fontId="23" fillId="0" borderId="25" xfId="53" applyNumberFormat="1" applyFont="1" applyBorder="1" applyAlignment="1">
      <alignment vertical="center" wrapText="1"/>
      <protection/>
    </xf>
    <xf numFmtId="177" fontId="23" fillId="34" borderId="16" xfId="53" applyNumberFormat="1" applyFont="1" applyFill="1" applyBorder="1" applyAlignment="1">
      <alignment vertical="center" wrapText="1"/>
      <protection/>
    </xf>
    <xf numFmtId="177" fontId="23" fillId="0" borderId="16" xfId="53" applyNumberFormat="1" applyFont="1" applyBorder="1" applyAlignment="1">
      <alignment vertical="center" wrapText="1"/>
      <protection/>
    </xf>
    <xf numFmtId="0" fontId="25" fillId="0" borderId="37" xfId="53" applyFont="1" applyBorder="1" applyAlignment="1">
      <alignment vertical="center" wrapText="1"/>
      <protection/>
    </xf>
    <xf numFmtId="0" fontId="27" fillId="0" borderId="0" xfId="53" applyFont="1" applyBorder="1">
      <alignment/>
      <protection/>
    </xf>
    <xf numFmtId="188" fontId="25" fillId="0" borderId="25" xfId="53" applyNumberFormat="1" applyFont="1" applyBorder="1" applyAlignment="1">
      <alignment vertical="center" wrapText="1"/>
      <protection/>
    </xf>
    <xf numFmtId="188" fontId="25" fillId="34" borderId="16" xfId="53" applyNumberFormat="1" applyFont="1" applyFill="1" applyBorder="1" applyAlignment="1">
      <alignment vertical="center" wrapText="1"/>
      <protection/>
    </xf>
    <xf numFmtId="0" fontId="4" fillId="0" borderId="37" xfId="53" applyFont="1" applyBorder="1" applyAlignment="1">
      <alignment horizontal="left" vertical="top" wrapText="1"/>
      <protection/>
    </xf>
    <xf numFmtId="4" fontId="49" fillId="34" borderId="0" xfId="54" applyNumberFormat="1" applyFont="1" applyFill="1" applyBorder="1" applyAlignment="1">
      <alignment vertical="center"/>
      <protection/>
    </xf>
    <xf numFmtId="0" fontId="25" fillId="0" borderId="0" xfId="53" applyFont="1" applyBorder="1" applyAlignment="1">
      <alignment vertical="center" wrapText="1"/>
      <protection/>
    </xf>
    <xf numFmtId="189" fontId="25" fillId="0" borderId="0" xfId="53" applyNumberFormat="1" applyFont="1" applyBorder="1" applyAlignment="1">
      <alignment vertical="center" wrapText="1"/>
      <protection/>
    </xf>
    <xf numFmtId="188" fontId="4" fillId="0" borderId="0" xfId="53" applyNumberFormat="1" applyFont="1" applyBorder="1" applyAlignment="1">
      <alignment vertical="center" wrapText="1"/>
      <protection/>
    </xf>
    <xf numFmtId="0" fontId="25" fillId="10" borderId="37" xfId="53" applyFont="1" applyFill="1" applyBorder="1" applyAlignment="1">
      <alignment vertical="center" wrapText="1"/>
      <protection/>
    </xf>
    <xf numFmtId="0" fontId="27" fillId="0" borderId="0" xfId="53" applyFont="1" applyBorder="1" applyAlignment="1">
      <alignment vertical="center" wrapText="1"/>
      <protection/>
    </xf>
    <xf numFmtId="49" fontId="4" fillId="10" borderId="37" xfId="53" applyNumberFormat="1" applyFont="1" applyFill="1" applyBorder="1" applyAlignment="1" applyProtection="1">
      <alignment horizontal="left" vertical="center" wrapText="1"/>
      <protection/>
    </xf>
    <xf numFmtId="0" fontId="2" fillId="34" borderId="37" xfId="53" applyFont="1" applyFill="1" applyBorder="1" applyAlignment="1">
      <alignment horizontal="left" vertical="top" wrapText="1"/>
      <protection/>
    </xf>
    <xf numFmtId="0" fontId="0" fillId="34" borderId="0" xfId="53" applyFont="1" applyFill="1" applyBorder="1">
      <alignment/>
      <protection/>
    </xf>
    <xf numFmtId="188" fontId="23" fillId="34" borderId="25" xfId="53" applyNumberFormat="1" applyFont="1" applyFill="1" applyBorder="1" applyAlignment="1">
      <alignment vertical="center" wrapText="1"/>
      <protection/>
    </xf>
    <xf numFmtId="188" fontId="19" fillId="34" borderId="16" xfId="53" applyNumberFormat="1" applyFont="1" applyFill="1" applyBorder="1" applyAlignment="1">
      <alignment vertical="center" wrapText="1"/>
      <protection/>
    </xf>
    <xf numFmtId="188" fontId="23" fillId="34" borderId="16" xfId="53" applyNumberFormat="1" applyFont="1" applyFill="1" applyBorder="1" applyAlignment="1">
      <alignment horizontal="right" vertical="center" wrapText="1"/>
      <protection/>
    </xf>
    <xf numFmtId="180" fontId="25" fillId="34" borderId="16" xfId="53" applyNumberFormat="1" applyFont="1" applyFill="1" applyBorder="1" applyAlignment="1">
      <alignment vertical="center" wrapText="1"/>
      <protection/>
    </xf>
    <xf numFmtId="180" fontId="19" fillId="34" borderId="16" xfId="53" applyNumberFormat="1" applyFont="1" applyFill="1" applyBorder="1" applyAlignment="1">
      <alignment vertical="center" wrapText="1"/>
      <protection/>
    </xf>
    <xf numFmtId="0" fontId="69" fillId="0" borderId="0" xfId="53" applyBorder="1">
      <alignment/>
      <protection/>
    </xf>
    <xf numFmtId="180" fontId="23" fillId="0" borderId="0" xfId="53" applyNumberFormat="1" applyFont="1" applyBorder="1" applyAlignment="1">
      <alignment vertical="center" wrapText="1"/>
      <protection/>
    </xf>
    <xf numFmtId="180" fontId="2" fillId="0" borderId="0" xfId="53" applyNumberFormat="1" applyFont="1" applyBorder="1" applyAlignment="1">
      <alignment vertical="center" wrapText="1"/>
      <protection/>
    </xf>
    <xf numFmtId="180" fontId="23" fillId="0" borderId="25" xfId="53" applyNumberFormat="1" applyFont="1" applyBorder="1" applyAlignment="1">
      <alignment vertical="center" wrapText="1"/>
      <protection/>
    </xf>
    <xf numFmtId="180" fontId="23" fillId="34" borderId="16" xfId="53" applyNumberFormat="1" applyFont="1" applyFill="1" applyBorder="1" applyAlignment="1">
      <alignment vertical="center" wrapText="1"/>
      <protection/>
    </xf>
    <xf numFmtId="180" fontId="23" fillId="0" borderId="16" xfId="53" applyNumberFormat="1" applyFont="1" applyBorder="1" applyAlignment="1">
      <alignment horizontal="right" vertical="center" wrapText="1"/>
      <protection/>
    </xf>
    <xf numFmtId="0" fontId="24" fillId="37" borderId="21" xfId="53" applyFont="1" applyFill="1" applyBorder="1" applyAlignment="1">
      <alignment vertical="center" wrapText="1"/>
      <protection/>
    </xf>
    <xf numFmtId="188" fontId="24" fillId="37" borderId="21" xfId="53" applyNumberFormat="1" applyFont="1" applyFill="1" applyBorder="1" applyAlignment="1">
      <alignment vertical="center" wrapText="1"/>
      <protection/>
    </xf>
    <xf numFmtId="0" fontId="0" fillId="0" borderId="0" xfId="53" applyFont="1">
      <alignment/>
      <protection/>
    </xf>
    <xf numFmtId="0" fontId="23" fillId="34" borderId="16" xfId="53" applyFont="1" applyFill="1" applyBorder="1" applyAlignment="1">
      <alignment vertical="center" wrapText="1"/>
      <protection/>
    </xf>
    <xf numFmtId="0" fontId="0" fillId="34" borderId="0" xfId="53" applyFont="1" applyFill="1">
      <alignment/>
      <protection/>
    </xf>
    <xf numFmtId="189" fontId="23" fillId="34" borderId="16" xfId="53" applyNumberFormat="1" applyFont="1" applyFill="1" applyBorder="1" applyAlignment="1">
      <alignment vertical="center" wrapText="1"/>
      <protection/>
    </xf>
    <xf numFmtId="188" fontId="2" fillId="34" borderId="16" xfId="53" applyNumberFormat="1" applyFont="1" applyFill="1" applyBorder="1" applyAlignment="1">
      <alignment vertical="center" wrapText="1"/>
      <protection/>
    </xf>
    <xf numFmtId="189" fontId="2" fillId="34" borderId="16" xfId="53" applyNumberFormat="1" applyFont="1" applyFill="1" applyBorder="1" applyAlignment="1">
      <alignment vertical="center" wrapText="1"/>
      <protection/>
    </xf>
    <xf numFmtId="189" fontId="2" fillId="34" borderId="16" xfId="53" applyNumberFormat="1" applyFont="1" applyFill="1" applyBorder="1" applyAlignment="1">
      <alignment horizontal="center" vertical="center" wrapText="1"/>
      <protection/>
    </xf>
    <xf numFmtId="0" fontId="19" fillId="0" borderId="16" xfId="53" applyFont="1" applyBorder="1" applyAlignment="1">
      <alignment vertical="center" wrapText="1"/>
      <protection/>
    </xf>
    <xf numFmtId="4" fontId="45" fillId="34" borderId="10" xfId="54" applyNumberFormat="1" applyFont="1" applyFill="1" applyBorder="1" applyAlignment="1">
      <alignment vertical="center"/>
      <protection/>
    </xf>
    <xf numFmtId="0" fontId="19" fillId="17" borderId="16" xfId="53" applyFont="1" applyFill="1" applyBorder="1" applyAlignment="1">
      <alignment vertical="center" wrapText="1"/>
      <protection/>
    </xf>
    <xf numFmtId="4" fontId="49" fillId="34" borderId="10" xfId="53" applyNumberFormat="1" applyFont="1" applyFill="1" applyBorder="1" applyAlignment="1">
      <alignment vertical="center"/>
      <protection/>
    </xf>
    <xf numFmtId="4" fontId="49" fillId="34" borderId="10" xfId="53" applyNumberFormat="1" applyFont="1" applyFill="1" applyBorder="1">
      <alignment/>
      <protection/>
    </xf>
    <xf numFmtId="189" fontId="19" fillId="0" borderId="16" xfId="53" applyNumberFormat="1" applyFont="1" applyBorder="1" applyAlignment="1">
      <alignment vertical="center" wrapText="1"/>
      <protection/>
    </xf>
    <xf numFmtId="188" fontId="48" fillId="0" borderId="16" xfId="53" applyNumberFormat="1" applyFont="1" applyBorder="1" applyAlignment="1">
      <alignment vertical="center" wrapText="1"/>
      <protection/>
    </xf>
    <xf numFmtId="188" fontId="18" fillId="0" borderId="16" xfId="53" applyNumberFormat="1" applyFont="1" applyBorder="1" applyAlignment="1">
      <alignment horizontal="right" vertical="center" wrapText="1"/>
      <protection/>
    </xf>
    <xf numFmtId="189" fontId="24" fillId="36" borderId="16" xfId="53" applyNumberFormat="1" applyFont="1" applyFill="1" applyBorder="1" applyAlignment="1">
      <alignment vertical="center" wrapText="1"/>
      <protection/>
    </xf>
    <xf numFmtId="189" fontId="23" fillId="36" borderId="16" xfId="53" applyNumberFormat="1" applyFont="1" applyFill="1" applyBorder="1" applyAlignment="1">
      <alignment vertical="center" wrapText="1"/>
      <protection/>
    </xf>
    <xf numFmtId="189" fontId="2" fillId="36" borderId="16" xfId="53" applyNumberFormat="1" applyFont="1" applyFill="1" applyBorder="1" applyAlignment="1">
      <alignment vertical="center" wrapText="1"/>
      <protection/>
    </xf>
    <xf numFmtId="188" fontId="23" fillId="36" borderId="16" xfId="53" applyNumberFormat="1" applyFont="1" applyFill="1" applyBorder="1" applyAlignment="1">
      <alignment horizontal="right" vertical="center" wrapText="1"/>
      <protection/>
    </xf>
    <xf numFmtId="180" fontId="25" fillId="36" borderId="16" xfId="53" applyNumberFormat="1" applyFont="1" applyFill="1" applyBorder="1" applyAlignment="1">
      <alignment vertical="center" wrapText="1"/>
      <protection/>
    </xf>
    <xf numFmtId="188" fontId="25" fillId="36" borderId="16" xfId="53" applyNumberFormat="1" applyFont="1" applyFill="1" applyBorder="1" applyAlignment="1">
      <alignment vertical="center" wrapText="1"/>
      <protection/>
    </xf>
    <xf numFmtId="180" fontId="23" fillId="36" borderId="16" xfId="53" applyNumberFormat="1" applyFont="1" applyFill="1" applyBorder="1" applyAlignment="1">
      <alignment vertical="center" wrapText="1"/>
      <protection/>
    </xf>
    <xf numFmtId="189" fontId="24" fillId="34" borderId="16" xfId="53" applyNumberFormat="1" applyFont="1" applyFill="1" applyBorder="1" applyAlignment="1">
      <alignment vertical="center" wrapText="1"/>
      <protection/>
    </xf>
    <xf numFmtId="188" fontId="2" fillId="0" borderId="16" xfId="53" applyNumberFormat="1" applyFont="1" applyBorder="1" applyAlignment="1">
      <alignment vertical="center" wrapText="1"/>
      <protection/>
    </xf>
    <xf numFmtId="0" fontId="2" fillId="34" borderId="10" xfId="53" applyFont="1" applyFill="1" applyBorder="1" applyAlignment="1">
      <alignment horizontal="left" vertical="top" wrapText="1"/>
      <protection/>
    </xf>
    <xf numFmtId="4" fontId="45" fillId="34" borderId="10" xfId="53" applyNumberFormat="1" applyFont="1" applyFill="1" applyBorder="1" applyAlignment="1">
      <alignment horizontal="right" vertical="center"/>
      <protection/>
    </xf>
    <xf numFmtId="188" fontId="23" fillId="36" borderId="16" xfId="53" applyNumberFormat="1" applyFont="1" applyFill="1" applyBorder="1" applyAlignment="1">
      <alignment vertical="center" wrapText="1"/>
      <protection/>
    </xf>
    <xf numFmtId="188" fontId="3" fillId="36" borderId="16" xfId="53" applyNumberFormat="1" applyFont="1" applyFill="1" applyBorder="1" applyAlignment="1">
      <alignment vertical="center" wrapText="1"/>
      <protection/>
    </xf>
    <xf numFmtId="188" fontId="24" fillId="36" borderId="16" xfId="53" applyNumberFormat="1" applyFont="1" applyFill="1" applyBorder="1" applyAlignment="1">
      <alignment vertical="center" wrapText="1"/>
      <protection/>
    </xf>
    <xf numFmtId="188" fontId="24" fillId="36" borderId="16" xfId="53" applyNumberFormat="1" applyFont="1" applyFill="1" applyBorder="1" applyAlignment="1">
      <alignment horizontal="right" vertical="center" wrapText="1"/>
      <protection/>
    </xf>
    <xf numFmtId="178" fontId="23" fillId="35" borderId="16" xfId="53" applyNumberFormat="1" applyFont="1" applyFill="1" applyBorder="1" applyAlignment="1">
      <alignment vertical="center" wrapText="1"/>
      <protection/>
    </xf>
    <xf numFmtId="178" fontId="25" fillId="0" borderId="16" xfId="53" applyNumberFormat="1" applyFont="1" applyBorder="1" applyAlignment="1">
      <alignment vertical="center" wrapText="1"/>
      <protection/>
    </xf>
    <xf numFmtId="3" fontId="24" fillId="35" borderId="16" xfId="53" applyNumberFormat="1" applyFont="1" applyFill="1" applyBorder="1" applyAlignment="1">
      <alignment vertical="center" wrapText="1"/>
      <protection/>
    </xf>
    <xf numFmtId="178" fontId="23" fillId="0" borderId="16" xfId="53" applyNumberFormat="1" applyFont="1" applyBorder="1" applyAlignment="1">
      <alignment vertical="center" wrapText="1"/>
      <protection/>
    </xf>
    <xf numFmtId="0" fontId="2" fillId="0" borderId="16" xfId="53" applyFont="1" applyBorder="1" applyAlignment="1">
      <alignment vertical="center" wrapText="1"/>
      <protection/>
    </xf>
    <xf numFmtId="189" fontId="2" fillId="0" borderId="16" xfId="53" applyNumberFormat="1" applyFont="1" applyBorder="1" applyAlignment="1">
      <alignment vertical="center" wrapText="1"/>
      <protection/>
    </xf>
    <xf numFmtId="189" fontId="88" fillId="0" borderId="16" xfId="53" applyNumberFormat="1" applyFont="1" applyBorder="1" applyAlignment="1">
      <alignment vertical="center" wrapText="1"/>
      <protection/>
    </xf>
    <xf numFmtId="188" fontId="88" fillId="0" borderId="16" xfId="53" applyNumberFormat="1" applyFont="1" applyBorder="1" applyAlignment="1">
      <alignment vertical="center" wrapText="1"/>
      <protection/>
    </xf>
    <xf numFmtId="0" fontId="28" fillId="35" borderId="16" xfId="53" applyFont="1" applyFill="1" applyBorder="1" applyAlignment="1">
      <alignment vertical="center" wrapText="1"/>
      <protection/>
    </xf>
    <xf numFmtId="189" fontId="28" fillId="35" borderId="16" xfId="53" applyNumberFormat="1" applyFont="1" applyFill="1" applyBorder="1" applyAlignment="1">
      <alignment vertical="center" wrapText="1"/>
      <protection/>
    </xf>
    <xf numFmtId="188" fontId="28" fillId="35" borderId="16" xfId="53" applyNumberFormat="1" applyFont="1" applyFill="1" applyBorder="1" applyAlignment="1">
      <alignment horizontal="center" vertical="center" wrapText="1"/>
      <protection/>
    </xf>
    <xf numFmtId="188" fontId="28" fillId="35" borderId="16" xfId="53" applyNumberFormat="1" applyFont="1" applyFill="1" applyBorder="1" applyAlignment="1">
      <alignment vertical="center" wrapText="1"/>
      <protection/>
    </xf>
    <xf numFmtId="178" fontId="25" fillId="35" borderId="16" xfId="53" applyNumberFormat="1" applyFont="1" applyFill="1" applyBorder="1" applyAlignment="1">
      <alignment vertical="center" wrapText="1"/>
      <protection/>
    </xf>
    <xf numFmtId="3" fontId="28" fillId="35" borderId="16" xfId="53" applyNumberFormat="1" applyFont="1" applyFill="1" applyBorder="1" applyAlignment="1">
      <alignment vertical="center" wrapText="1"/>
      <protection/>
    </xf>
    <xf numFmtId="184" fontId="24" fillId="36" borderId="16" xfId="53" applyNumberFormat="1" applyFont="1" applyFill="1" applyBorder="1" applyAlignment="1">
      <alignment vertical="center" wrapText="1"/>
      <protection/>
    </xf>
    <xf numFmtId="184" fontId="24" fillId="35" borderId="16" xfId="53" applyNumberFormat="1" applyFont="1" applyFill="1" applyBorder="1" applyAlignment="1">
      <alignment horizontal="center" vertical="center" wrapText="1"/>
      <protection/>
    </xf>
    <xf numFmtId="184" fontId="23" fillId="35" borderId="16" xfId="53" applyNumberFormat="1" applyFont="1" applyFill="1" applyBorder="1" applyAlignment="1">
      <alignment vertical="center" wrapText="1"/>
      <protection/>
    </xf>
    <xf numFmtId="178" fontId="24" fillId="36" borderId="16" xfId="53" applyNumberFormat="1" applyFont="1" applyFill="1" applyBorder="1" applyAlignment="1">
      <alignment vertical="center" wrapText="1"/>
      <protection/>
    </xf>
    <xf numFmtId="178" fontId="24" fillId="35" borderId="16" xfId="53" applyNumberFormat="1" applyFont="1" applyFill="1" applyBorder="1" applyAlignment="1">
      <alignment horizontal="center" vertical="center" wrapText="1"/>
      <protection/>
    </xf>
    <xf numFmtId="191" fontId="24" fillId="35" borderId="16" xfId="53" applyNumberFormat="1" applyFont="1" applyFill="1" applyBorder="1" applyAlignment="1">
      <alignment horizontal="right" wrapText="1"/>
      <protection/>
    </xf>
    <xf numFmtId="0" fontId="24" fillId="35" borderId="16" xfId="53" applyFont="1" applyFill="1" applyBorder="1" applyAlignment="1">
      <alignment horizontal="right" wrapText="1"/>
      <protection/>
    </xf>
    <xf numFmtId="3" fontId="24" fillId="35" borderId="16" xfId="53" applyNumberFormat="1" applyFont="1" applyFill="1" applyBorder="1" applyAlignment="1">
      <alignment horizontal="right" wrapText="1"/>
      <protection/>
    </xf>
    <xf numFmtId="178" fontId="23" fillId="35" borderId="16" xfId="53" applyNumberFormat="1" applyFont="1" applyFill="1" applyBorder="1" applyAlignment="1">
      <alignment horizontal="right" wrapText="1"/>
      <protection/>
    </xf>
    <xf numFmtId="0" fontId="32" fillId="0" borderId="0" xfId="53" applyFont="1" applyFill="1" applyBorder="1" applyAlignment="1">
      <alignment horizontal="left" vertical="center"/>
      <protection/>
    </xf>
    <xf numFmtId="0" fontId="22" fillId="0" borderId="0" xfId="53" applyFont="1" applyFill="1" applyBorder="1" applyAlignment="1">
      <alignment horizontal="left" vertical="center"/>
      <protection/>
    </xf>
    <xf numFmtId="0" fontId="22" fillId="0" borderId="0" xfId="53" applyFont="1" applyFill="1" applyBorder="1" applyAlignment="1">
      <alignment horizontal="left" vertical="center" wrapText="1"/>
      <protection/>
    </xf>
    <xf numFmtId="0" fontId="11" fillId="0" borderId="0" xfId="53" applyFont="1">
      <alignment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39" xfId="0" applyFont="1" applyFill="1" applyBorder="1" applyAlignment="1">
      <alignment horizontal="center" vertical="center" wrapText="1"/>
    </xf>
    <xf numFmtId="0" fontId="20" fillId="38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1" fillId="0" borderId="4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30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8" fillId="0" borderId="16" xfId="53" applyFont="1" applyFill="1" applyBorder="1" applyAlignment="1">
      <alignment horizontal="center" vertical="center" wrapText="1"/>
      <protection/>
    </xf>
    <xf numFmtId="0" fontId="23" fillId="0" borderId="16" xfId="53" applyFont="1" applyFill="1" applyBorder="1" applyAlignment="1">
      <alignment horizontal="center" vertical="center" wrapText="1"/>
      <protection/>
    </xf>
    <xf numFmtId="0" fontId="23" fillId="0" borderId="16" xfId="53" applyFont="1" applyBorder="1" applyAlignment="1">
      <alignment horizontal="center" vertical="center" wrapText="1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2" fillId="0" borderId="16" xfId="53" applyFont="1" applyBorder="1" applyAlignment="1">
      <alignment horizontal="center" vertical="center" wrapText="1"/>
      <protection/>
    </xf>
    <xf numFmtId="0" fontId="18" fillId="0" borderId="16" xfId="53" applyFont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21" xfId="53" applyFont="1" applyFill="1" applyBorder="1" applyAlignment="1">
      <alignment horizontal="center" vertical="center" wrapText="1"/>
      <protection/>
    </xf>
    <xf numFmtId="0" fontId="18" fillId="0" borderId="17" xfId="53" applyFont="1" applyFill="1" applyBorder="1" applyAlignment="1">
      <alignment horizontal="center" vertical="center" wrapText="1"/>
      <protection/>
    </xf>
    <xf numFmtId="0" fontId="18" fillId="0" borderId="21" xfId="53" applyFont="1" applyFill="1" applyBorder="1" applyAlignment="1">
      <alignment horizontal="center" vertical="center" wrapText="1"/>
      <protection/>
    </xf>
    <xf numFmtId="0" fontId="39" fillId="0" borderId="13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89" fontId="35" fillId="0" borderId="14" xfId="0" applyNumberFormat="1" applyFont="1" applyBorder="1" applyAlignment="1">
      <alignment horizontal="center" vertical="center" wrapText="1"/>
    </xf>
    <xf numFmtId="189" fontId="35" fillId="0" borderId="40" xfId="0" applyNumberFormat="1" applyFont="1" applyBorder="1" applyAlignment="1">
      <alignment horizontal="center" vertical="center" wrapText="1"/>
    </xf>
    <xf numFmtId="189" fontId="35" fillId="0" borderId="43" xfId="0" applyNumberFormat="1" applyFont="1" applyBorder="1" applyAlignment="1">
      <alignment horizontal="center" vertical="center" wrapText="1"/>
    </xf>
    <xf numFmtId="189" fontId="35" fillId="0" borderId="44" xfId="0" applyNumberFormat="1" applyFont="1" applyBorder="1" applyAlignment="1">
      <alignment horizontal="center" vertical="center" wrapText="1"/>
    </xf>
    <xf numFmtId="189" fontId="35" fillId="0" borderId="45" xfId="0" applyNumberFormat="1" applyFont="1" applyBorder="1" applyAlignment="1">
      <alignment horizontal="center" vertical="center" wrapText="1"/>
    </xf>
    <xf numFmtId="189" fontId="35" fillId="0" borderId="46" xfId="0" applyNumberFormat="1" applyFont="1" applyBorder="1" applyAlignment="1">
      <alignment horizontal="center" vertical="center" wrapText="1"/>
    </xf>
    <xf numFmtId="189" fontId="35" fillId="0" borderId="47" xfId="0" applyNumberFormat="1" applyFont="1" applyBorder="1" applyAlignment="1">
      <alignment horizontal="center" vertical="center" wrapText="1"/>
    </xf>
    <xf numFmtId="189" fontId="35" fillId="0" borderId="48" xfId="0" applyNumberFormat="1" applyFont="1" applyBorder="1" applyAlignment="1">
      <alignment horizontal="center" vertical="center" wrapText="1"/>
    </xf>
    <xf numFmtId="189" fontId="35" fillId="0" borderId="49" xfId="0" applyNumberFormat="1" applyFont="1" applyBorder="1" applyAlignment="1">
      <alignment horizontal="center" vertical="center" wrapText="1"/>
    </xf>
    <xf numFmtId="189" fontId="35" fillId="0" borderId="50" xfId="0" applyNumberFormat="1" applyFont="1" applyBorder="1" applyAlignment="1">
      <alignment horizontal="center" vertical="center" wrapText="1"/>
    </xf>
    <xf numFmtId="189" fontId="35" fillId="0" borderId="51" xfId="0" applyNumberFormat="1" applyFont="1" applyBorder="1" applyAlignment="1">
      <alignment horizontal="center" vertical="center" wrapText="1"/>
    </xf>
    <xf numFmtId="189" fontId="35" fillId="0" borderId="52" xfId="0" applyNumberFormat="1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96" zoomScaleNormal="96" workbookViewId="0" topLeftCell="A1">
      <selection activeCell="F58" sqref="F58"/>
    </sheetView>
  </sheetViews>
  <sheetFormatPr defaultColWidth="58.25390625" defaultRowHeight="12.75"/>
  <cols>
    <col min="1" max="1" width="52.75390625" style="14" customWidth="1"/>
    <col min="2" max="2" width="15.25390625" style="14" customWidth="1"/>
    <col min="3" max="5" width="16.25390625" style="14" customWidth="1"/>
    <col min="6" max="6" width="10.75390625" style="14" customWidth="1"/>
    <col min="7" max="7" width="19.125" style="14" customWidth="1"/>
    <col min="8" max="16384" width="58.25390625" style="14" customWidth="1"/>
  </cols>
  <sheetData>
    <row r="1" spans="6:7" ht="42" customHeight="1">
      <c r="F1" s="311" t="s">
        <v>128</v>
      </c>
      <c r="G1" s="311"/>
    </row>
    <row r="2" spans="6:7" ht="18" customHeight="1">
      <c r="F2" s="307" t="s">
        <v>177</v>
      </c>
      <c r="G2" s="307"/>
    </row>
    <row r="3" spans="6:7" ht="18.75" customHeight="1">
      <c r="F3" s="72"/>
      <c r="G3" s="71" t="s">
        <v>129</v>
      </c>
    </row>
    <row r="4" spans="1:7" s="42" customFormat="1" ht="72" customHeight="1">
      <c r="A4" s="312" t="s">
        <v>142</v>
      </c>
      <c r="B4" s="312"/>
      <c r="C4" s="312"/>
      <c r="D4" s="312"/>
      <c r="E4" s="312"/>
      <c r="F4" s="312"/>
      <c r="G4" s="312"/>
    </row>
    <row r="5" spans="1:7" s="42" customFormat="1" ht="21" customHeight="1">
      <c r="A5" s="312" t="s">
        <v>203</v>
      </c>
      <c r="B5" s="312"/>
      <c r="C5" s="312"/>
      <c r="D5" s="312"/>
      <c r="E5" s="312"/>
      <c r="F5" s="312"/>
      <c r="G5" s="312"/>
    </row>
    <row r="6" spans="1:7" s="43" customFormat="1" ht="13.5" customHeight="1">
      <c r="A6" s="313" t="s">
        <v>79</v>
      </c>
      <c r="B6" s="313"/>
      <c r="C6" s="313"/>
      <c r="D6" s="313"/>
      <c r="E6" s="313"/>
      <c r="F6" s="313"/>
      <c r="G6" s="313"/>
    </row>
    <row r="7" spans="1:7" ht="15" customHeight="1">
      <c r="A7" s="4"/>
      <c r="B7" s="4"/>
      <c r="C7" s="4"/>
      <c r="D7" s="4"/>
      <c r="E7" s="4"/>
      <c r="F7" s="73"/>
      <c r="G7" s="18"/>
    </row>
    <row r="8" spans="1:9" s="9" customFormat="1" ht="16.5" customHeight="1">
      <c r="A8" s="315" t="s">
        <v>5</v>
      </c>
      <c r="B8" s="302" t="s">
        <v>141</v>
      </c>
      <c r="C8" s="303"/>
      <c r="D8" s="302" t="s">
        <v>176</v>
      </c>
      <c r="E8" s="303"/>
      <c r="F8" s="308" t="s">
        <v>178</v>
      </c>
      <c r="G8" s="314" t="s">
        <v>179</v>
      </c>
      <c r="H8" s="5"/>
      <c r="I8" s="5"/>
    </row>
    <row r="9" spans="1:9" s="9" customFormat="1" ht="14.25" customHeight="1">
      <c r="A9" s="315"/>
      <c r="B9" s="304" t="s">
        <v>37</v>
      </c>
      <c r="C9" s="308" t="s">
        <v>103</v>
      </c>
      <c r="D9" s="304" t="s">
        <v>143</v>
      </c>
      <c r="E9" s="308" t="s">
        <v>103</v>
      </c>
      <c r="F9" s="309"/>
      <c r="G9" s="314"/>
      <c r="H9" s="5"/>
      <c r="I9" s="5"/>
    </row>
    <row r="10" spans="1:9" s="9" customFormat="1" ht="14.25" customHeight="1">
      <c r="A10" s="315"/>
      <c r="B10" s="305"/>
      <c r="C10" s="309"/>
      <c r="D10" s="305"/>
      <c r="E10" s="309"/>
      <c r="F10" s="309"/>
      <c r="G10" s="314"/>
      <c r="H10" s="5"/>
      <c r="I10" s="5"/>
    </row>
    <row r="11" spans="1:9" s="9" customFormat="1" ht="40.5" customHeight="1">
      <c r="A11" s="315"/>
      <c r="B11" s="306"/>
      <c r="C11" s="310"/>
      <c r="D11" s="306"/>
      <c r="E11" s="310"/>
      <c r="F11" s="310"/>
      <c r="G11" s="314"/>
      <c r="H11" s="5"/>
      <c r="I11" s="5"/>
    </row>
    <row r="12" spans="1:9" s="9" customFormat="1" ht="12.75">
      <c r="A12" s="15">
        <v>1</v>
      </c>
      <c r="B12" s="15">
        <v>4</v>
      </c>
      <c r="C12" s="15">
        <v>5</v>
      </c>
      <c r="D12" s="15">
        <v>6</v>
      </c>
      <c r="E12" s="15">
        <v>7</v>
      </c>
      <c r="F12" s="15" t="s">
        <v>124</v>
      </c>
      <c r="G12" s="2">
        <v>10</v>
      </c>
      <c r="H12" s="13"/>
      <c r="I12" s="13"/>
    </row>
    <row r="13" spans="1:7" s="16" customFormat="1" ht="15.75" customHeight="1">
      <c r="A13" s="19" t="s">
        <v>8</v>
      </c>
      <c r="B13" s="37">
        <f>B15+B16</f>
        <v>16</v>
      </c>
      <c r="C13" s="37">
        <f>C15+C16</f>
        <v>9559.72</v>
      </c>
      <c r="D13" s="37">
        <f>D15</f>
        <v>16</v>
      </c>
      <c r="E13" s="37">
        <f>E15</f>
        <v>10520.2</v>
      </c>
      <c r="F13" s="21">
        <f>E13/C13</f>
        <v>1.1004715619285923</v>
      </c>
      <c r="G13" s="20"/>
    </row>
    <row r="14" spans="1:7" s="16" customFormat="1" ht="15.75" customHeight="1">
      <c r="A14" s="22" t="s">
        <v>7</v>
      </c>
      <c r="B14" s="38"/>
      <c r="C14" s="38"/>
      <c r="D14" s="38"/>
      <c r="E14" s="38"/>
      <c r="F14" s="23"/>
      <c r="G14" s="24"/>
    </row>
    <row r="15" spans="1:7" s="16" customFormat="1" ht="15.75" customHeight="1">
      <c r="A15" s="17" t="s">
        <v>77</v>
      </c>
      <c r="B15" s="38">
        <v>16</v>
      </c>
      <c r="C15" s="38">
        <v>9559.72</v>
      </c>
      <c r="D15" s="38">
        <v>16</v>
      </c>
      <c r="E15" s="133">
        <v>10520.2</v>
      </c>
      <c r="F15" s="23">
        <f>E15/C15</f>
        <v>1.1004715619285923</v>
      </c>
      <c r="G15" s="24"/>
    </row>
    <row r="16" spans="1:7" s="16" customFormat="1" ht="15.75" customHeight="1">
      <c r="A16" s="17" t="s">
        <v>78</v>
      </c>
      <c r="B16" s="38"/>
      <c r="C16" s="38"/>
      <c r="D16" s="38"/>
      <c r="E16" s="38"/>
      <c r="F16" s="23" t="e">
        <f aca="true" t="shared" si="0" ref="F16:F60">E16/C16</f>
        <v>#DIV/0!</v>
      </c>
      <c r="G16" s="24"/>
    </row>
    <row r="17" spans="1:7" s="16" customFormat="1" ht="15.75" customHeight="1" hidden="1">
      <c r="A17" s="19" t="s">
        <v>38</v>
      </c>
      <c r="B17" s="37">
        <f>B19+B20</f>
        <v>0</v>
      </c>
      <c r="C17" s="37">
        <f>C19+C20</f>
        <v>0</v>
      </c>
      <c r="D17" s="37"/>
      <c r="E17" s="37"/>
      <c r="F17" s="21" t="e">
        <f t="shared" si="0"/>
        <v>#DIV/0!</v>
      </c>
      <c r="G17" s="20"/>
    </row>
    <row r="18" spans="1:7" s="16" customFormat="1" ht="15.75" customHeight="1" hidden="1">
      <c r="A18" s="22" t="s">
        <v>7</v>
      </c>
      <c r="B18" s="38"/>
      <c r="C18" s="38"/>
      <c r="D18" s="38"/>
      <c r="E18" s="38"/>
      <c r="F18" s="23"/>
      <c r="G18" s="24"/>
    </row>
    <row r="19" spans="1:7" s="16" customFormat="1" ht="15.75" customHeight="1" hidden="1">
      <c r="A19" s="17" t="s">
        <v>77</v>
      </c>
      <c r="B19" s="38"/>
      <c r="C19" s="38"/>
      <c r="D19" s="38"/>
      <c r="E19" s="38"/>
      <c r="F19" s="23" t="e">
        <f t="shared" si="0"/>
        <v>#DIV/0!</v>
      </c>
      <c r="G19" s="24"/>
    </row>
    <row r="20" spans="1:7" s="16" customFormat="1" ht="15.75" customHeight="1" hidden="1">
      <c r="A20" s="17" t="s">
        <v>78</v>
      </c>
      <c r="B20" s="38"/>
      <c r="C20" s="38"/>
      <c r="D20" s="38"/>
      <c r="E20" s="38"/>
      <c r="F20" s="23" t="e">
        <f t="shared" si="0"/>
        <v>#DIV/0!</v>
      </c>
      <c r="G20" s="24"/>
    </row>
    <row r="21" spans="1:7" s="16" customFormat="1" ht="28.5" hidden="1">
      <c r="A21" s="19" t="s">
        <v>39</v>
      </c>
      <c r="B21" s="37">
        <f>B23+B24</f>
        <v>0</v>
      </c>
      <c r="C21" s="37">
        <f>C23+C24</f>
        <v>0</v>
      </c>
      <c r="D21" s="37"/>
      <c r="E21" s="37"/>
      <c r="F21" s="21" t="e">
        <f t="shared" si="0"/>
        <v>#DIV/0!</v>
      </c>
      <c r="G21" s="20"/>
    </row>
    <row r="22" spans="1:7" s="16" customFormat="1" ht="12.75" hidden="1">
      <c r="A22" s="22" t="s">
        <v>7</v>
      </c>
      <c r="B22" s="38"/>
      <c r="C22" s="38"/>
      <c r="D22" s="38"/>
      <c r="E22" s="38"/>
      <c r="F22" s="23"/>
      <c r="G22" s="24"/>
    </row>
    <row r="23" spans="1:7" s="16" customFormat="1" ht="14.25" customHeight="1" hidden="1">
      <c r="A23" s="17" t="s">
        <v>77</v>
      </c>
      <c r="B23" s="38"/>
      <c r="C23" s="38"/>
      <c r="D23" s="38"/>
      <c r="E23" s="38"/>
      <c r="F23" s="23" t="e">
        <f t="shared" si="0"/>
        <v>#DIV/0!</v>
      </c>
      <c r="G23" s="24"/>
    </row>
    <row r="24" spans="1:7" s="16" customFormat="1" ht="14.25" customHeight="1" hidden="1">
      <c r="A24" s="17" t="s">
        <v>78</v>
      </c>
      <c r="B24" s="38"/>
      <c r="C24" s="38"/>
      <c r="D24" s="38"/>
      <c r="E24" s="38"/>
      <c r="F24" s="23" t="e">
        <f t="shared" si="0"/>
        <v>#DIV/0!</v>
      </c>
      <c r="G24" s="24"/>
    </row>
    <row r="25" spans="1:7" s="16" customFormat="1" ht="14.25" customHeight="1" hidden="1">
      <c r="A25" s="19" t="s">
        <v>40</v>
      </c>
      <c r="B25" s="37">
        <f>B27+B28</f>
        <v>0</v>
      </c>
      <c r="C25" s="37">
        <f>C27+C28</f>
        <v>0</v>
      </c>
      <c r="D25" s="37"/>
      <c r="E25" s="37"/>
      <c r="F25" s="21" t="e">
        <f t="shared" si="0"/>
        <v>#DIV/0!</v>
      </c>
      <c r="G25" s="20"/>
    </row>
    <row r="26" spans="1:7" s="16" customFormat="1" ht="14.25" customHeight="1" hidden="1">
      <c r="A26" s="22" t="s">
        <v>7</v>
      </c>
      <c r="B26" s="38"/>
      <c r="C26" s="38"/>
      <c r="D26" s="38"/>
      <c r="E26" s="38"/>
      <c r="F26" s="23"/>
      <c r="G26" s="24"/>
    </row>
    <row r="27" spans="1:7" s="16" customFormat="1" ht="14.25" customHeight="1" hidden="1">
      <c r="A27" s="17" t="s">
        <v>77</v>
      </c>
      <c r="B27" s="38"/>
      <c r="C27" s="38"/>
      <c r="D27" s="38"/>
      <c r="E27" s="38"/>
      <c r="F27" s="23" t="e">
        <f t="shared" si="0"/>
        <v>#DIV/0!</v>
      </c>
      <c r="G27" s="24"/>
    </row>
    <row r="28" spans="1:7" s="16" customFormat="1" ht="14.25" customHeight="1" hidden="1">
      <c r="A28" s="17" t="s">
        <v>78</v>
      </c>
      <c r="B28" s="38"/>
      <c r="C28" s="38"/>
      <c r="D28" s="38"/>
      <c r="E28" s="38"/>
      <c r="F28" s="23" t="e">
        <f t="shared" si="0"/>
        <v>#DIV/0!</v>
      </c>
      <c r="G28" s="24"/>
    </row>
    <row r="29" spans="1:7" s="16" customFormat="1" ht="14.25" customHeight="1">
      <c r="A29" s="19" t="s">
        <v>41</v>
      </c>
      <c r="B29" s="37">
        <f>B31+B32</f>
        <v>3.5</v>
      </c>
      <c r="C29" s="37">
        <f>C31+C32</f>
        <v>1639.19696</v>
      </c>
      <c r="D29" s="37">
        <f>D31</f>
        <v>3.5</v>
      </c>
      <c r="E29" s="37">
        <f>E31</f>
        <v>1706.77</v>
      </c>
      <c r="F29" s="21">
        <f t="shared" si="0"/>
        <v>1.0412232584911578</v>
      </c>
      <c r="G29" s="20"/>
    </row>
    <row r="30" spans="1:7" s="16" customFormat="1" ht="14.25" customHeight="1">
      <c r="A30" s="22" t="s">
        <v>7</v>
      </c>
      <c r="B30" s="38"/>
      <c r="C30" s="38"/>
      <c r="D30" s="38"/>
      <c r="E30" s="38"/>
      <c r="F30" s="23" t="e">
        <f t="shared" si="0"/>
        <v>#DIV/0!</v>
      </c>
      <c r="G30" s="24"/>
    </row>
    <row r="31" spans="1:7" s="16" customFormat="1" ht="14.25" customHeight="1">
      <c r="A31" s="17" t="s">
        <v>77</v>
      </c>
      <c r="B31" s="38">
        <v>3.5</v>
      </c>
      <c r="C31" s="38">
        <v>1639.19696</v>
      </c>
      <c r="D31" s="38">
        <v>3.5</v>
      </c>
      <c r="E31" s="38">
        <v>1706.77</v>
      </c>
      <c r="F31" s="23">
        <f t="shared" si="0"/>
        <v>1.0412232584911578</v>
      </c>
      <c r="G31" s="24"/>
    </row>
    <row r="32" spans="1:7" s="16" customFormat="1" ht="14.25" customHeight="1">
      <c r="A32" s="17" t="s">
        <v>78</v>
      </c>
      <c r="B32" s="38"/>
      <c r="C32" s="38"/>
      <c r="D32" s="38"/>
      <c r="E32" s="38"/>
      <c r="F32" s="23" t="e">
        <f t="shared" si="0"/>
        <v>#DIV/0!</v>
      </c>
      <c r="G32" s="24"/>
    </row>
    <row r="33" spans="1:7" s="16" customFormat="1" ht="14.25" customHeight="1" hidden="1">
      <c r="A33" s="19" t="s">
        <v>42</v>
      </c>
      <c r="B33" s="37">
        <f>B35+B36</f>
        <v>0</v>
      </c>
      <c r="C33" s="37">
        <f>C35+C36</f>
        <v>0</v>
      </c>
      <c r="D33" s="37"/>
      <c r="E33" s="37"/>
      <c r="F33" s="21" t="e">
        <f t="shared" si="0"/>
        <v>#DIV/0!</v>
      </c>
      <c r="G33" s="20"/>
    </row>
    <row r="34" spans="1:7" s="16" customFormat="1" ht="14.25" customHeight="1" hidden="1">
      <c r="A34" s="22" t="s">
        <v>7</v>
      </c>
      <c r="B34" s="38"/>
      <c r="C34" s="38"/>
      <c r="D34" s="38"/>
      <c r="E34" s="38"/>
      <c r="F34" s="23"/>
      <c r="G34" s="24"/>
    </row>
    <row r="35" spans="1:7" s="16" customFormat="1" ht="14.25" customHeight="1" hidden="1">
      <c r="A35" s="17" t="s">
        <v>77</v>
      </c>
      <c r="B35" s="38"/>
      <c r="C35" s="38"/>
      <c r="D35" s="38"/>
      <c r="E35" s="38"/>
      <c r="F35" s="23" t="e">
        <f t="shared" si="0"/>
        <v>#DIV/0!</v>
      </c>
      <c r="G35" s="24"/>
    </row>
    <row r="36" spans="1:7" s="16" customFormat="1" ht="15" customHeight="1" hidden="1">
      <c r="A36" s="17" t="s">
        <v>78</v>
      </c>
      <c r="B36" s="38"/>
      <c r="C36" s="38"/>
      <c r="D36" s="38"/>
      <c r="E36" s="38"/>
      <c r="F36" s="23" t="e">
        <f t="shared" si="0"/>
        <v>#DIV/0!</v>
      </c>
      <c r="G36" s="24"/>
    </row>
    <row r="37" spans="1:7" s="16" customFormat="1" ht="15" customHeight="1">
      <c r="A37" s="19" t="s">
        <v>43</v>
      </c>
      <c r="B37" s="37">
        <f>B39+B40</f>
        <v>29</v>
      </c>
      <c r="C37" s="37">
        <f>C39+C40</f>
        <v>14747.73916</v>
      </c>
      <c r="D37" s="37">
        <f>D39+D40</f>
        <v>29</v>
      </c>
      <c r="E37" s="37">
        <f>E39+E40</f>
        <v>14403.75</v>
      </c>
      <c r="F37" s="21">
        <f t="shared" si="0"/>
        <v>0.9766751258434924</v>
      </c>
      <c r="G37" s="20"/>
    </row>
    <row r="38" spans="1:7" s="16" customFormat="1" ht="15" customHeight="1">
      <c r="A38" s="22" t="s">
        <v>7</v>
      </c>
      <c r="B38" s="133"/>
      <c r="C38" s="133"/>
      <c r="D38" s="133"/>
      <c r="E38" s="38"/>
      <c r="F38" s="23"/>
      <c r="G38" s="24"/>
    </row>
    <row r="39" spans="1:7" s="16" customFormat="1" ht="15" customHeight="1">
      <c r="A39" s="17" t="s">
        <v>77</v>
      </c>
      <c r="B39" s="133">
        <f>2+2.5+9.5+9</f>
        <v>23</v>
      </c>
      <c r="C39" s="133">
        <v>11876.85343</v>
      </c>
      <c r="D39" s="133">
        <f>2+2.5+9.5+9</f>
        <v>23</v>
      </c>
      <c r="E39" s="38">
        <f>11414.55</f>
        <v>11414.55</v>
      </c>
      <c r="F39" s="134">
        <f t="shared" si="0"/>
        <v>0.9610752601499436</v>
      </c>
      <c r="G39" s="24"/>
    </row>
    <row r="40" spans="1:7" s="16" customFormat="1" ht="15" customHeight="1">
      <c r="A40" s="17" t="s">
        <v>78</v>
      </c>
      <c r="B40" s="133">
        <v>6</v>
      </c>
      <c r="C40" s="133">
        <v>2870.88573</v>
      </c>
      <c r="D40" s="133">
        <v>6</v>
      </c>
      <c r="E40" s="38">
        <v>2989.2</v>
      </c>
      <c r="F40" s="23">
        <f>E40/C40</f>
        <v>1.0412117656804125</v>
      </c>
      <c r="G40" s="24"/>
    </row>
    <row r="41" spans="1:7" s="16" customFormat="1" ht="15" customHeight="1">
      <c r="A41" s="19" t="s">
        <v>44</v>
      </c>
      <c r="B41" s="37">
        <f>B43+B44</f>
        <v>27</v>
      </c>
      <c r="C41" s="37">
        <f>C43+C44</f>
        <v>10408.60584</v>
      </c>
      <c r="D41" s="37">
        <f>D43</f>
        <v>27</v>
      </c>
      <c r="E41" s="37">
        <f>E43</f>
        <v>11833.21</v>
      </c>
      <c r="F41" s="21">
        <f t="shared" si="0"/>
        <v>1.1368679131383075</v>
      </c>
      <c r="G41" s="20"/>
    </row>
    <row r="42" spans="1:7" s="9" customFormat="1" ht="15" customHeight="1">
      <c r="A42" s="22" t="s">
        <v>7</v>
      </c>
      <c r="B42" s="38"/>
      <c r="C42" s="38"/>
      <c r="D42" s="38"/>
      <c r="E42" s="38"/>
      <c r="F42" s="23"/>
      <c r="G42" s="25"/>
    </row>
    <row r="43" spans="1:7" s="16" customFormat="1" ht="15" customHeight="1">
      <c r="A43" s="17" t="s">
        <v>77</v>
      </c>
      <c r="B43" s="38">
        <v>27</v>
      </c>
      <c r="C43" s="38">
        <v>10408.60584</v>
      </c>
      <c r="D43" s="38">
        <v>27</v>
      </c>
      <c r="E43" s="38">
        <v>11833.21</v>
      </c>
      <c r="F43" s="23">
        <f>E43/C43</f>
        <v>1.1368679131383075</v>
      </c>
      <c r="G43" s="24"/>
    </row>
    <row r="44" spans="1:7" s="9" customFormat="1" ht="15" customHeight="1">
      <c r="A44" s="17" t="s">
        <v>78</v>
      </c>
      <c r="B44" s="38"/>
      <c r="C44" s="38"/>
      <c r="D44" s="38"/>
      <c r="E44" s="38"/>
      <c r="F44" s="23" t="e">
        <f t="shared" si="0"/>
        <v>#DIV/0!</v>
      </c>
      <c r="G44" s="25"/>
    </row>
    <row r="45" spans="1:7" s="9" customFormat="1" ht="15" customHeight="1" hidden="1">
      <c r="A45" s="19" t="s">
        <v>45</v>
      </c>
      <c r="B45" s="37">
        <f>B47+B48</f>
        <v>0</v>
      </c>
      <c r="C45" s="37">
        <f>C47+C48</f>
        <v>0</v>
      </c>
      <c r="D45" s="37"/>
      <c r="E45" s="37"/>
      <c r="F45" s="21" t="e">
        <f t="shared" si="0"/>
        <v>#DIV/0!</v>
      </c>
      <c r="G45" s="20"/>
    </row>
    <row r="46" spans="1:7" s="9" customFormat="1" ht="15" customHeight="1" hidden="1">
      <c r="A46" s="22" t="s">
        <v>7</v>
      </c>
      <c r="B46" s="38"/>
      <c r="C46" s="38"/>
      <c r="D46" s="38"/>
      <c r="E46" s="38"/>
      <c r="F46" s="23"/>
      <c r="G46" s="25"/>
    </row>
    <row r="47" spans="1:7" s="9" customFormat="1" ht="15" customHeight="1" hidden="1">
      <c r="A47" s="17" t="s">
        <v>77</v>
      </c>
      <c r="B47" s="38"/>
      <c r="C47" s="38"/>
      <c r="D47" s="38"/>
      <c r="E47" s="38"/>
      <c r="F47" s="23" t="e">
        <f t="shared" si="0"/>
        <v>#DIV/0!</v>
      </c>
      <c r="G47" s="25"/>
    </row>
    <row r="48" spans="1:7" s="9" customFormat="1" ht="15" customHeight="1" hidden="1">
      <c r="A48" s="17" t="s">
        <v>78</v>
      </c>
      <c r="B48" s="38"/>
      <c r="C48" s="38"/>
      <c r="D48" s="38"/>
      <c r="E48" s="38"/>
      <c r="F48" s="23" t="e">
        <f t="shared" si="0"/>
        <v>#DIV/0!</v>
      </c>
      <c r="G48" s="25"/>
    </row>
    <row r="49" spans="1:7" s="9" customFormat="1" ht="15" customHeight="1" hidden="1">
      <c r="A49" s="19" t="s">
        <v>46</v>
      </c>
      <c r="B49" s="37">
        <f>B51+B52</f>
        <v>0</v>
      </c>
      <c r="C49" s="37">
        <f>C51+C52</f>
        <v>0</v>
      </c>
      <c r="D49" s="37"/>
      <c r="E49" s="37"/>
      <c r="F49" s="21" t="e">
        <f t="shared" si="0"/>
        <v>#DIV/0!</v>
      </c>
      <c r="G49" s="20"/>
    </row>
    <row r="50" spans="1:7" s="9" customFormat="1" ht="15" customHeight="1" hidden="1">
      <c r="A50" s="22" t="s">
        <v>7</v>
      </c>
      <c r="B50" s="38"/>
      <c r="C50" s="38"/>
      <c r="D50" s="38"/>
      <c r="E50" s="38"/>
      <c r="F50" s="23"/>
      <c r="G50" s="25"/>
    </row>
    <row r="51" spans="1:7" s="9" customFormat="1" ht="15" customHeight="1" hidden="1">
      <c r="A51" s="17" t="s">
        <v>77</v>
      </c>
      <c r="B51" s="38"/>
      <c r="D51" s="38"/>
      <c r="E51" s="38"/>
      <c r="F51" s="23">
        <f>E51/C43</f>
        <v>0</v>
      </c>
      <c r="G51" s="25"/>
    </row>
    <row r="52" spans="1:7" s="9" customFormat="1" ht="15" customHeight="1" hidden="1">
      <c r="A52" s="17" t="s">
        <v>78</v>
      </c>
      <c r="B52" s="38"/>
      <c r="C52" s="38"/>
      <c r="D52" s="38"/>
      <c r="E52" s="38"/>
      <c r="F52" s="23" t="e">
        <f t="shared" si="0"/>
        <v>#DIV/0!</v>
      </c>
      <c r="G52" s="25"/>
    </row>
    <row r="53" spans="1:7" s="9" customFormat="1" ht="15" customHeight="1">
      <c r="A53" s="19" t="s">
        <v>47</v>
      </c>
      <c r="B53" s="37">
        <f>B55+B56</f>
        <v>2.3</v>
      </c>
      <c r="C53" s="37">
        <f>C55+C56</f>
        <v>823.78364</v>
      </c>
      <c r="D53" s="37">
        <f>D55</f>
        <v>2.3</v>
      </c>
      <c r="E53" s="37">
        <f>E55</f>
        <v>784.56</v>
      </c>
      <c r="F53" s="21">
        <f t="shared" si="0"/>
        <v>0.9523859930017546</v>
      </c>
      <c r="G53" s="20"/>
    </row>
    <row r="54" spans="1:7" s="9" customFormat="1" ht="15" customHeight="1">
      <c r="A54" s="22" t="s">
        <v>7</v>
      </c>
      <c r="B54" s="38"/>
      <c r="C54" s="38"/>
      <c r="D54" s="38"/>
      <c r="E54" s="38"/>
      <c r="F54" s="23"/>
      <c r="G54" s="25"/>
    </row>
    <row r="55" spans="1:7" s="9" customFormat="1" ht="15" customHeight="1">
      <c r="A55" s="17" t="s">
        <v>77</v>
      </c>
      <c r="B55" s="38">
        <v>2.3</v>
      </c>
      <c r="C55" s="38">
        <v>823.78364</v>
      </c>
      <c r="D55" s="38">
        <v>2.3</v>
      </c>
      <c r="E55" s="38">
        <v>784.56</v>
      </c>
      <c r="F55" s="134">
        <f t="shared" si="0"/>
        <v>0.9523859930017546</v>
      </c>
      <c r="G55" s="25"/>
    </row>
    <row r="56" spans="1:7" s="9" customFormat="1" ht="15" customHeight="1">
      <c r="A56" s="17" t="s">
        <v>78</v>
      </c>
      <c r="B56" s="38"/>
      <c r="C56" s="38"/>
      <c r="D56" s="38"/>
      <c r="E56" s="38"/>
      <c r="F56" s="23" t="e">
        <f t="shared" si="0"/>
        <v>#DIV/0!</v>
      </c>
      <c r="G56" s="25"/>
    </row>
    <row r="57" spans="1:7" s="9" customFormat="1" ht="15" customHeight="1">
      <c r="A57" s="19" t="s">
        <v>48</v>
      </c>
      <c r="B57" s="37">
        <f>B59+B60</f>
        <v>78.8</v>
      </c>
      <c r="C57" s="37">
        <f>E59+E60</f>
        <v>39793.16999999999</v>
      </c>
      <c r="D57" s="37">
        <f>D59+D60</f>
        <v>78.8</v>
      </c>
      <c r="E57" s="37">
        <f>E59+E60</f>
        <v>39793.16999999999</v>
      </c>
      <c r="F57" s="21">
        <f t="shared" si="0"/>
        <v>1</v>
      </c>
      <c r="G57" s="20"/>
    </row>
    <row r="58" spans="1:7" s="9" customFormat="1" ht="15" customHeight="1">
      <c r="A58" s="22" t="s">
        <v>7</v>
      </c>
      <c r="B58" s="38"/>
      <c r="C58" s="38"/>
      <c r="D58" s="38"/>
      <c r="E58" s="38"/>
      <c r="F58" s="23"/>
      <c r="G58" s="25"/>
    </row>
    <row r="59" spans="1:7" s="9" customFormat="1" ht="15" customHeight="1">
      <c r="A59" s="17" t="s">
        <v>77</v>
      </c>
      <c r="B59" s="39">
        <f>B15+B19+B23+B27+B31+B35+B39+B43+B47+B51+B55+1</f>
        <v>72.8</v>
      </c>
      <c r="C59" s="39">
        <f>C15+C19+C23+C27+C31+C35+C39++C47+C43+C55+472.53553</f>
        <v>34780.6954</v>
      </c>
      <c r="D59" s="39">
        <f>D15+D31+D39+D43+D55+1</f>
        <v>72.8</v>
      </c>
      <c r="E59" s="39">
        <f>E15+E31+E39+E43+E55+544.68</f>
        <v>36803.969999999994</v>
      </c>
      <c r="F59" s="23">
        <f t="shared" si="0"/>
        <v>1.0581723446507052</v>
      </c>
      <c r="G59" s="25"/>
    </row>
    <row r="60" spans="1:7" s="9" customFormat="1" ht="15" customHeight="1">
      <c r="A60" s="17" t="s">
        <v>78</v>
      </c>
      <c r="B60" s="38">
        <f>B16+B20+B24+B28+B32+B36+B40+B44+B48+B52+B56</f>
        <v>6</v>
      </c>
      <c r="C60" s="38">
        <f>C16+C20+C24+C28+C32+C36+C40+C44+C48+C52+C56</f>
        <v>2870.88573</v>
      </c>
      <c r="D60" s="38">
        <f>D40</f>
        <v>6</v>
      </c>
      <c r="E60" s="38">
        <f>E40</f>
        <v>2989.2</v>
      </c>
      <c r="F60" s="23">
        <f t="shared" si="0"/>
        <v>1.0412117656804125</v>
      </c>
      <c r="G60" s="25"/>
    </row>
    <row r="61" spans="1:7" s="9" customFormat="1" ht="15" customHeight="1">
      <c r="A61" s="107"/>
      <c r="B61" s="108"/>
      <c r="C61" s="108"/>
      <c r="D61" s="108"/>
      <c r="E61" s="108"/>
      <c r="F61" s="109"/>
      <c r="G61" s="13"/>
    </row>
    <row r="62" spans="1:4" s="9" customFormat="1" ht="12.75">
      <c r="A62" s="13" t="s">
        <v>2</v>
      </c>
      <c r="D62" s="9" t="s">
        <v>205</v>
      </c>
    </row>
    <row r="63" spans="1:2" s="9" customFormat="1" ht="12.75">
      <c r="A63" s="9" t="s">
        <v>206</v>
      </c>
      <c r="B63" s="13"/>
    </row>
    <row r="64" s="9" customFormat="1" ht="9" customHeight="1"/>
    <row r="65" s="9" customFormat="1" ht="12.75">
      <c r="A65" s="9" t="s">
        <v>125</v>
      </c>
    </row>
    <row r="66" s="9" customFormat="1" ht="12.75"/>
    <row r="67" s="9" customFormat="1" ht="12.75"/>
    <row r="68" s="9" customFormat="1" ht="12.75"/>
    <row r="69" s="9" customFormat="1" ht="12.75"/>
    <row r="70" s="9" customFormat="1" ht="12.75"/>
  </sheetData>
  <sheetProtection/>
  <mergeCells count="14">
    <mergeCell ref="D8:E8"/>
    <mergeCell ref="D9:D11"/>
    <mergeCell ref="E9:E11"/>
    <mergeCell ref="C9:C11"/>
    <mergeCell ref="B8:C8"/>
    <mergeCell ref="B9:B11"/>
    <mergeCell ref="F2:G2"/>
    <mergeCell ref="F8:F11"/>
    <mergeCell ref="F1:G1"/>
    <mergeCell ref="A4:G4"/>
    <mergeCell ref="A5:G5"/>
    <mergeCell ref="A6:G6"/>
    <mergeCell ref="G8:G11"/>
    <mergeCell ref="A8:A11"/>
  </mergeCells>
  <printOptions/>
  <pageMargins left="0.1968503937007874" right="0.1968503937007874" top="0.1968503937007874" bottom="0.1968503937007874" header="0.3937007874015748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SheetLayoutView="100" workbookViewId="0" topLeftCell="A1">
      <selection activeCell="A12" sqref="A12:IV12"/>
    </sheetView>
  </sheetViews>
  <sheetFormatPr defaultColWidth="8.875" defaultRowHeight="12.75"/>
  <cols>
    <col min="1" max="1" width="37.75390625" style="1" customWidth="1"/>
    <col min="2" max="2" width="10.875" style="1" customWidth="1"/>
    <col min="3" max="4" width="10.25390625" style="1" customWidth="1"/>
    <col min="5" max="5" width="12.00390625" style="1" customWidth="1"/>
    <col min="6" max="6" width="10.25390625" style="1" customWidth="1"/>
    <col min="7" max="7" width="10.875" style="1" customWidth="1"/>
    <col min="8" max="11" width="10.25390625" style="1" customWidth="1"/>
    <col min="12" max="12" width="14.75390625" style="1" customWidth="1"/>
    <col min="13" max="13" width="12.625" style="1" customWidth="1"/>
    <col min="14" max="16384" width="8.875" style="1" customWidth="1"/>
  </cols>
  <sheetData>
    <row r="1" spans="8:14" ht="21" customHeight="1">
      <c r="H1" s="6"/>
      <c r="L1" s="71" t="s">
        <v>130</v>
      </c>
      <c r="M1" s="70"/>
      <c r="N1" s="7"/>
    </row>
    <row r="2" spans="1:13" ht="18.75">
      <c r="A2" s="319" t="s">
        <v>100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23.25" customHeight="1">
      <c r="A3" s="326" t="s">
        <v>204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2:13" ht="17.25" customHeight="1">
      <c r="B4" s="44"/>
      <c r="C4" s="316" t="s">
        <v>6</v>
      </c>
      <c r="D4" s="316"/>
      <c r="E4" s="316"/>
      <c r="F4" s="316"/>
      <c r="G4" s="316"/>
      <c r="H4" s="316"/>
      <c r="I4" s="53"/>
      <c r="J4" s="53"/>
      <c r="K4" s="53"/>
      <c r="L4" s="44"/>
      <c r="M4" s="44"/>
    </row>
    <row r="5" spans="1:13" ht="17.25" customHeight="1">
      <c r="A5" s="324" t="s">
        <v>89</v>
      </c>
      <c r="B5" s="317" t="s">
        <v>180</v>
      </c>
      <c r="C5" s="327"/>
      <c r="D5" s="327"/>
      <c r="E5" s="327"/>
      <c r="F5" s="327"/>
      <c r="G5" s="317" t="s">
        <v>181</v>
      </c>
      <c r="H5" s="318"/>
      <c r="I5" s="327"/>
      <c r="J5" s="327"/>
      <c r="K5" s="327"/>
      <c r="L5" s="315" t="s">
        <v>182</v>
      </c>
      <c r="M5" s="315" t="s">
        <v>183</v>
      </c>
    </row>
    <row r="6" spans="1:13" ht="15" customHeight="1">
      <c r="A6" s="324"/>
      <c r="B6" s="321" t="s">
        <v>94</v>
      </c>
      <c r="C6" s="321" t="s">
        <v>99</v>
      </c>
      <c r="D6" s="317" t="s">
        <v>1</v>
      </c>
      <c r="E6" s="318"/>
      <c r="F6" s="331"/>
      <c r="G6" s="315" t="s">
        <v>95</v>
      </c>
      <c r="H6" s="321" t="s">
        <v>99</v>
      </c>
      <c r="I6" s="317" t="s">
        <v>1</v>
      </c>
      <c r="J6" s="318"/>
      <c r="K6" s="318"/>
      <c r="L6" s="320"/>
      <c r="M6" s="320"/>
    </row>
    <row r="7" spans="1:13" ht="15" customHeight="1">
      <c r="A7" s="324"/>
      <c r="B7" s="322"/>
      <c r="C7" s="322"/>
      <c r="D7" s="329" t="s">
        <v>101</v>
      </c>
      <c r="E7" s="315" t="s">
        <v>1</v>
      </c>
      <c r="F7" s="315"/>
      <c r="G7" s="315"/>
      <c r="H7" s="322"/>
      <c r="I7" s="329" t="s">
        <v>102</v>
      </c>
      <c r="J7" s="315" t="s">
        <v>1</v>
      </c>
      <c r="K7" s="315"/>
      <c r="L7" s="320"/>
      <c r="M7" s="320"/>
    </row>
    <row r="8" spans="1:19" ht="53.25" customHeight="1">
      <c r="A8" s="324"/>
      <c r="B8" s="325"/>
      <c r="C8" s="323"/>
      <c r="D8" s="330"/>
      <c r="E8" s="54" t="s">
        <v>9</v>
      </c>
      <c r="F8" s="54" t="s">
        <v>0</v>
      </c>
      <c r="G8" s="333"/>
      <c r="H8" s="323"/>
      <c r="I8" s="330"/>
      <c r="J8" s="54" t="s">
        <v>9</v>
      </c>
      <c r="K8" s="55" t="s">
        <v>0</v>
      </c>
      <c r="L8" s="320"/>
      <c r="M8" s="320"/>
      <c r="S8" s="58"/>
    </row>
    <row r="9" spans="1:13" s="57" customFormat="1" ht="11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</row>
    <row r="10" spans="1:19" ht="18" customHeight="1">
      <c r="A10" s="59" t="s">
        <v>98</v>
      </c>
      <c r="B10" s="56">
        <v>36.5</v>
      </c>
      <c r="C10" s="56">
        <v>30337.77998</v>
      </c>
      <c r="D10" s="56">
        <f>E10+F10</f>
        <v>24577.00998</v>
      </c>
      <c r="E10" s="56">
        <v>18884.17613</v>
      </c>
      <c r="F10" s="56">
        <v>5692.83385</v>
      </c>
      <c r="G10" s="56">
        <v>36.5</v>
      </c>
      <c r="H10" s="56">
        <v>33305.94</v>
      </c>
      <c r="I10" s="56">
        <f>J10+K10</f>
        <v>26239.29</v>
      </c>
      <c r="J10" s="131">
        <f>J11+J14</f>
        <v>20137.73</v>
      </c>
      <c r="K10" s="131">
        <f>K11+K14</f>
        <v>6101.56</v>
      </c>
      <c r="L10" s="56">
        <f>H10/C10</f>
        <v>1.0978370870233993</v>
      </c>
      <c r="M10" s="56">
        <f>I10/D10</f>
        <v>1.0676355676037368</v>
      </c>
      <c r="S10" s="58"/>
    </row>
    <row r="11" spans="1:13" ht="37.5" customHeight="1">
      <c r="A11" s="60" t="s">
        <v>90</v>
      </c>
      <c r="B11" s="41" t="s">
        <v>3</v>
      </c>
      <c r="C11" s="41" t="s">
        <v>3</v>
      </c>
      <c r="D11" s="56">
        <f>E11+F11</f>
        <v>19211.68881</v>
      </c>
      <c r="E11" s="41">
        <f>E12+E13</f>
        <v>14763.343130000001</v>
      </c>
      <c r="F11" s="41">
        <f>F12+F13</f>
        <v>4448.345679999999</v>
      </c>
      <c r="G11" s="41" t="s">
        <v>3</v>
      </c>
      <c r="H11" s="41" t="s">
        <v>3</v>
      </c>
      <c r="I11" s="56">
        <f>J11+K11</f>
        <v>20724.07</v>
      </c>
      <c r="J11" s="41">
        <f>J12+J13</f>
        <v>15901.77</v>
      </c>
      <c r="K11" s="41">
        <f>K12+K13</f>
        <v>4822.3</v>
      </c>
      <c r="L11" s="56" t="s">
        <v>3</v>
      </c>
      <c r="M11" s="56">
        <f>I11/D11</f>
        <v>1.0787219283508684</v>
      </c>
    </row>
    <row r="12" spans="1:13" ht="15.75" customHeight="1">
      <c r="A12" s="61" t="s">
        <v>91</v>
      </c>
      <c r="B12" s="64" t="s">
        <v>3</v>
      </c>
      <c r="C12" s="64" t="s">
        <v>3</v>
      </c>
      <c r="D12" s="65">
        <f>E12+F12</f>
        <v>1924.60805</v>
      </c>
      <c r="E12" s="66">
        <f>1341.49517+144.67</f>
        <v>1486.16517</v>
      </c>
      <c r="F12" s="66">
        <f>394.75288+43.69</f>
        <v>438.44288</v>
      </c>
      <c r="G12" s="64" t="s">
        <v>3</v>
      </c>
      <c r="H12" s="64" t="s">
        <v>3</v>
      </c>
      <c r="I12" s="65">
        <f>J12+K12</f>
        <v>2653.86</v>
      </c>
      <c r="J12" s="66">
        <v>2038.29</v>
      </c>
      <c r="K12" s="66">
        <v>615.57</v>
      </c>
      <c r="L12" s="65" t="s">
        <v>3</v>
      </c>
      <c r="M12" s="65">
        <f>I12/D12</f>
        <v>1.3789093316948353</v>
      </c>
    </row>
    <row r="13" spans="1:13" ht="15.75" customHeight="1">
      <c r="A13" s="61" t="s">
        <v>92</v>
      </c>
      <c r="B13" s="64" t="s">
        <v>3</v>
      </c>
      <c r="C13" s="64" t="s">
        <v>3</v>
      </c>
      <c r="D13" s="65">
        <f>E13+F13</f>
        <v>17287.08076</v>
      </c>
      <c r="E13" s="66">
        <v>13277.17796</v>
      </c>
      <c r="F13" s="66">
        <v>4009.9028</v>
      </c>
      <c r="G13" s="64" t="s">
        <v>3</v>
      </c>
      <c r="H13" s="64" t="s">
        <v>3</v>
      </c>
      <c r="I13" s="65">
        <f>J13+K13</f>
        <v>18070.21</v>
      </c>
      <c r="J13" s="66">
        <f>15901.77-J12</f>
        <v>13863.48</v>
      </c>
      <c r="K13" s="66">
        <f>4822.3-K12</f>
        <v>4206.7300000000005</v>
      </c>
      <c r="L13" s="65" t="s">
        <v>3</v>
      </c>
      <c r="M13" s="65">
        <f>I13/D13</f>
        <v>1.045301416177337</v>
      </c>
    </row>
    <row r="14" spans="1:13" ht="45.75" customHeight="1">
      <c r="A14" s="60" t="s">
        <v>93</v>
      </c>
      <c r="B14" s="41" t="s">
        <v>3</v>
      </c>
      <c r="C14" s="41" t="s">
        <v>3</v>
      </c>
      <c r="D14" s="56">
        <f>E14+F14</f>
        <v>5365.321169999999</v>
      </c>
      <c r="E14" s="40">
        <v>4120.833</v>
      </c>
      <c r="F14" s="40">
        <v>1244.48817</v>
      </c>
      <c r="G14" s="41" t="s">
        <v>3</v>
      </c>
      <c r="H14" s="41" t="s">
        <v>3</v>
      </c>
      <c r="I14" s="56">
        <f>J14+K14</f>
        <v>5515.22</v>
      </c>
      <c r="J14" s="40">
        <v>4235.96</v>
      </c>
      <c r="K14" s="40">
        <v>1279.26</v>
      </c>
      <c r="L14" s="56" t="s">
        <v>3</v>
      </c>
      <c r="M14" s="56">
        <f>I14/D14</f>
        <v>1.027938463560794</v>
      </c>
    </row>
    <row r="15" spans="1:12" ht="12.75">
      <c r="A15" s="10"/>
      <c r="B15" s="10"/>
      <c r="C15" s="11"/>
      <c r="D15" s="11"/>
      <c r="E15" s="11"/>
      <c r="F15" s="11"/>
      <c r="G15" s="10"/>
      <c r="H15" s="11"/>
      <c r="I15" s="11"/>
      <c r="J15" s="11"/>
      <c r="K15" s="11"/>
      <c r="L15" s="12"/>
    </row>
    <row r="16" spans="1:11" ht="15.75" customHeight="1">
      <c r="A16" s="8" t="s">
        <v>2</v>
      </c>
      <c r="B16" s="8"/>
      <c r="C16" s="62"/>
      <c r="D16" s="62"/>
      <c r="E16" s="132"/>
      <c r="G16" s="63"/>
      <c r="H16" s="332" t="s">
        <v>205</v>
      </c>
      <c r="I16" s="332"/>
      <c r="J16" s="332"/>
      <c r="K16" s="62"/>
    </row>
    <row r="17" spans="3:11" ht="12.75">
      <c r="C17" s="328" t="s">
        <v>96</v>
      </c>
      <c r="D17" s="328"/>
      <c r="E17" s="328"/>
      <c r="F17" s="14"/>
      <c r="G17" s="328" t="s">
        <v>97</v>
      </c>
      <c r="H17" s="328"/>
      <c r="I17" s="328"/>
      <c r="J17" s="328"/>
      <c r="K17" s="328"/>
    </row>
    <row r="18" spans="1:7" ht="12.75">
      <c r="A18" s="13" t="s">
        <v>207</v>
      </c>
      <c r="B18" s="13"/>
      <c r="E18" s="110"/>
      <c r="F18" s="110"/>
      <c r="G18" s="13"/>
    </row>
  </sheetData>
  <sheetProtection/>
  <mergeCells count="21">
    <mergeCell ref="G6:G8"/>
    <mergeCell ref="L5:L8"/>
    <mergeCell ref="B5:F5"/>
    <mergeCell ref="G5:K5"/>
    <mergeCell ref="C17:E17"/>
    <mergeCell ref="G17:K17"/>
    <mergeCell ref="D7:D8"/>
    <mergeCell ref="E7:F7"/>
    <mergeCell ref="I7:I8"/>
    <mergeCell ref="D6:F6"/>
    <mergeCell ref="H16:J16"/>
    <mergeCell ref="C4:H4"/>
    <mergeCell ref="I6:K6"/>
    <mergeCell ref="J7:K7"/>
    <mergeCell ref="A2:M2"/>
    <mergeCell ref="M5:M8"/>
    <mergeCell ref="C6:C8"/>
    <mergeCell ref="A5:A8"/>
    <mergeCell ref="H6:H8"/>
    <mergeCell ref="B6:B8"/>
    <mergeCell ref="A3:M3"/>
  </mergeCells>
  <printOptions/>
  <pageMargins left="0.39" right="0.25" top="0.4" bottom="0.32" header="0.37" footer="0.2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G5" sqref="G5"/>
    </sheetView>
  </sheetViews>
  <sheetFormatPr defaultColWidth="9.00390625" defaultRowHeight="12.75"/>
  <cols>
    <col min="1" max="1" width="24.00390625" style="0" customWidth="1"/>
    <col min="2" max="2" width="10.25390625" style="0" customWidth="1"/>
    <col min="3" max="3" width="14.75390625" style="0" customWidth="1"/>
    <col min="4" max="4" width="10.25390625" style="0" customWidth="1"/>
    <col min="5" max="5" width="13.75390625" style="0" customWidth="1"/>
    <col min="6" max="6" width="12.75390625" style="0" customWidth="1"/>
    <col min="7" max="7" width="11.00390625" style="0" customWidth="1"/>
    <col min="8" max="8" width="14.25390625" style="0" customWidth="1"/>
    <col min="9" max="9" width="10.25390625" style="0" customWidth="1"/>
    <col min="10" max="10" width="14.75390625" style="0" customWidth="1"/>
    <col min="11" max="11" width="13.25390625" style="0" customWidth="1"/>
    <col min="12" max="12" width="11.25390625" style="0" customWidth="1"/>
    <col min="13" max="13" width="11.75390625" style="0" customWidth="1"/>
  </cols>
  <sheetData>
    <row r="1" spans="10:11" ht="20.25" customHeight="1">
      <c r="J1" s="71" t="s">
        <v>131</v>
      </c>
      <c r="K1" s="67"/>
    </row>
    <row r="2" spans="1:13" ht="18.75">
      <c r="A2" s="334" t="s">
        <v>184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6" t="s">
        <v>80</v>
      </c>
      <c r="L3" s="3"/>
      <c r="M3" s="3"/>
    </row>
    <row r="4" spans="1:13" ht="48.75" customHeight="1">
      <c r="A4" s="335" t="s">
        <v>11</v>
      </c>
      <c r="B4" s="336" t="s">
        <v>185</v>
      </c>
      <c r="C4" s="336"/>
      <c r="D4" s="336"/>
      <c r="E4" s="336"/>
      <c r="F4" s="336"/>
      <c r="G4" s="337" t="s">
        <v>186</v>
      </c>
      <c r="H4" s="337"/>
      <c r="I4" s="337"/>
      <c r="J4" s="337"/>
      <c r="K4" s="337"/>
      <c r="L4" s="28"/>
      <c r="M4" s="28"/>
    </row>
    <row r="5" spans="1:13" ht="72.75" customHeight="1">
      <c r="A5" s="335"/>
      <c r="B5" s="27" t="s">
        <v>12</v>
      </c>
      <c r="C5" s="27" t="s">
        <v>13</v>
      </c>
      <c r="D5" s="27" t="s">
        <v>14</v>
      </c>
      <c r="E5" s="27" t="s">
        <v>15</v>
      </c>
      <c r="F5" s="27" t="s">
        <v>16</v>
      </c>
      <c r="G5" s="27" t="s">
        <v>12</v>
      </c>
      <c r="H5" s="27" t="s">
        <v>13</v>
      </c>
      <c r="I5" s="27" t="s">
        <v>14</v>
      </c>
      <c r="J5" s="27" t="s">
        <v>15</v>
      </c>
      <c r="K5" s="27" t="s">
        <v>16</v>
      </c>
      <c r="L5" s="3"/>
      <c r="M5" s="3"/>
    </row>
    <row r="6" spans="1:13" ht="15.75">
      <c r="A6" s="29"/>
      <c r="B6" s="30"/>
      <c r="C6" s="30"/>
      <c r="D6" s="30"/>
      <c r="E6" s="30"/>
      <c r="F6" s="30"/>
      <c r="G6" s="30"/>
      <c r="H6" s="31"/>
      <c r="I6" s="30"/>
      <c r="J6" s="31"/>
      <c r="K6" s="31"/>
      <c r="L6" s="3"/>
      <c r="M6" s="3"/>
    </row>
    <row r="7" spans="1:13" ht="15.75">
      <c r="A7" s="29"/>
      <c r="B7" s="30"/>
      <c r="C7" s="30"/>
      <c r="D7" s="30"/>
      <c r="E7" s="30"/>
      <c r="F7" s="30"/>
      <c r="G7" s="30"/>
      <c r="H7" s="31"/>
      <c r="I7" s="30"/>
      <c r="J7" s="31"/>
      <c r="K7" s="31"/>
      <c r="L7" s="3"/>
      <c r="M7" s="3"/>
    </row>
    <row r="8" spans="1:13" ht="15.75">
      <c r="A8" s="29"/>
      <c r="B8" s="30"/>
      <c r="C8" s="30"/>
      <c r="D8" s="30"/>
      <c r="E8" s="30"/>
      <c r="F8" s="30"/>
      <c r="G8" s="30"/>
      <c r="H8" s="31"/>
      <c r="I8" s="30"/>
      <c r="J8" s="31"/>
      <c r="K8" s="31"/>
      <c r="L8" s="3"/>
      <c r="M8" s="3"/>
    </row>
    <row r="9" spans="1:13" ht="15.75">
      <c r="A9" s="29"/>
      <c r="B9" s="30"/>
      <c r="C9" s="30"/>
      <c r="D9" s="30"/>
      <c r="E9" s="30"/>
      <c r="F9" s="30"/>
      <c r="G9" s="30"/>
      <c r="H9" s="31"/>
      <c r="I9" s="30"/>
      <c r="J9" s="31"/>
      <c r="K9" s="31"/>
      <c r="L9" s="3"/>
      <c r="M9" s="3"/>
    </row>
    <row r="10" spans="1:13" ht="15.75">
      <c r="A10" s="29"/>
      <c r="B10" s="30"/>
      <c r="C10" s="30"/>
      <c r="D10" s="30"/>
      <c r="E10" s="30"/>
      <c r="F10" s="30"/>
      <c r="G10" s="30"/>
      <c r="H10" s="31"/>
      <c r="I10" s="30"/>
      <c r="J10" s="31"/>
      <c r="K10" s="31"/>
      <c r="L10" s="3"/>
      <c r="M10" s="3"/>
    </row>
    <row r="11" spans="1:13" ht="15.75">
      <c r="A11" s="32"/>
      <c r="B11" s="30"/>
      <c r="C11" s="30"/>
      <c r="D11" s="30"/>
      <c r="E11" s="30"/>
      <c r="F11" s="30"/>
      <c r="G11" s="30"/>
      <c r="H11" s="31"/>
      <c r="I11" s="30"/>
      <c r="J11" s="31"/>
      <c r="K11" s="31"/>
      <c r="L11" s="3"/>
      <c r="M11" s="3"/>
    </row>
    <row r="12" spans="1:13" ht="15.75">
      <c r="A12" s="29"/>
      <c r="B12" s="30"/>
      <c r="C12" s="30"/>
      <c r="D12" s="30"/>
      <c r="E12" s="30"/>
      <c r="F12" s="30"/>
      <c r="G12" s="30"/>
      <c r="H12" s="31"/>
      <c r="I12" s="30"/>
      <c r="J12" s="31"/>
      <c r="K12" s="31"/>
      <c r="L12" s="3"/>
      <c r="M12" s="3"/>
    </row>
    <row r="13" spans="1:13" ht="15.75">
      <c r="A13" s="31"/>
      <c r="B13" s="30"/>
      <c r="C13" s="30"/>
      <c r="D13" s="30"/>
      <c r="E13" s="30"/>
      <c r="F13" s="30"/>
      <c r="G13" s="30"/>
      <c r="H13" s="31"/>
      <c r="I13" s="30"/>
      <c r="J13" s="31"/>
      <c r="K13" s="31"/>
      <c r="L13" s="3"/>
      <c r="M13" s="3"/>
    </row>
    <row r="14" spans="1:13" ht="15.75">
      <c r="A14" s="31"/>
      <c r="B14" s="30"/>
      <c r="C14" s="30"/>
      <c r="D14" s="30"/>
      <c r="E14" s="30"/>
      <c r="F14" s="30"/>
      <c r="G14" s="30"/>
      <c r="H14" s="31"/>
      <c r="I14" s="30"/>
      <c r="J14" s="31"/>
      <c r="K14" s="31"/>
      <c r="L14" s="3"/>
      <c r="M14" s="3"/>
    </row>
    <row r="15" spans="1:13" ht="15.75">
      <c r="A15" s="31"/>
      <c r="B15" s="30"/>
      <c r="C15" s="30"/>
      <c r="D15" s="30"/>
      <c r="E15" s="30"/>
      <c r="F15" s="30"/>
      <c r="G15" s="30"/>
      <c r="H15" s="31"/>
      <c r="I15" s="30"/>
      <c r="J15" s="31"/>
      <c r="K15" s="31"/>
      <c r="L15" s="3"/>
      <c r="M15" s="3"/>
    </row>
    <row r="16" spans="1:13" ht="15.75">
      <c r="A16" s="33" t="s">
        <v>17</v>
      </c>
      <c r="B16" s="34"/>
      <c r="C16" s="34"/>
      <c r="D16" s="34"/>
      <c r="E16" s="30"/>
      <c r="F16" s="30"/>
      <c r="G16" s="34"/>
      <c r="H16" s="34"/>
      <c r="I16" s="34"/>
      <c r="J16" s="33"/>
      <c r="K16" s="3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5" t="s">
        <v>2</v>
      </c>
      <c r="B19" s="3"/>
      <c r="C19" s="3"/>
      <c r="D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5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ht="12.75">
      <c r="A24" s="36"/>
    </row>
  </sheetData>
  <sheetProtection/>
  <mergeCells count="4">
    <mergeCell ref="A2:M2"/>
    <mergeCell ref="A4:A5"/>
    <mergeCell ref="B4:F4"/>
    <mergeCell ref="G4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16" sqref="J16"/>
    </sheetView>
  </sheetViews>
  <sheetFormatPr defaultColWidth="9.00390625" defaultRowHeight="12.75"/>
  <cols>
    <col min="1" max="1" width="48.00390625" style="0" customWidth="1"/>
    <col min="2" max="2" width="10.25390625" style="0" customWidth="1"/>
    <col min="3" max="3" width="10.875" style="0" customWidth="1"/>
    <col min="4" max="7" width="11.125" style="0" customWidth="1"/>
    <col min="8" max="8" width="10.125" style="0" customWidth="1"/>
    <col min="10" max="10" width="11.75390625" style="0" customWidth="1"/>
  </cols>
  <sheetData>
    <row r="1" spans="8:10" ht="19.5" customHeight="1">
      <c r="H1" s="71" t="s">
        <v>132</v>
      </c>
      <c r="I1" s="67"/>
      <c r="J1" s="67"/>
    </row>
    <row r="2" spans="1:10" ht="36.75" customHeight="1">
      <c r="A2" s="338" t="s">
        <v>127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.75">
      <c r="A3" s="341" t="s">
        <v>202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1:10" ht="15" customHeight="1">
      <c r="A4" s="342" t="s">
        <v>6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0" ht="15.75">
      <c r="A5" s="45"/>
      <c r="B5" s="45"/>
      <c r="C5" s="45"/>
      <c r="D5" s="45"/>
      <c r="E5" s="45"/>
      <c r="F5" s="45"/>
      <c r="G5" s="45"/>
      <c r="H5" s="45"/>
      <c r="I5" s="45" t="s">
        <v>80</v>
      </c>
      <c r="J5" s="45"/>
    </row>
    <row r="6" spans="1:10" ht="30.75" customHeight="1">
      <c r="A6" s="339" t="s">
        <v>81</v>
      </c>
      <c r="B6" s="339" t="s">
        <v>187</v>
      </c>
      <c r="C6" s="339"/>
      <c r="D6" s="339"/>
      <c r="E6" s="339" t="s">
        <v>188</v>
      </c>
      <c r="F6" s="339"/>
      <c r="G6" s="339"/>
      <c r="H6" s="340" t="s">
        <v>189</v>
      </c>
      <c r="I6" s="340"/>
      <c r="J6" s="340"/>
    </row>
    <row r="7" spans="1:10" ht="15.75">
      <c r="A7" s="339"/>
      <c r="B7" s="74" t="s">
        <v>82</v>
      </c>
      <c r="C7" s="74" t="s">
        <v>83</v>
      </c>
      <c r="D7" s="74" t="s">
        <v>84</v>
      </c>
      <c r="E7" s="46" t="s">
        <v>82</v>
      </c>
      <c r="F7" s="46" t="s">
        <v>83</v>
      </c>
      <c r="G7" s="46" t="s">
        <v>84</v>
      </c>
      <c r="H7" s="46" t="s">
        <v>82</v>
      </c>
      <c r="I7" s="46" t="s">
        <v>83</v>
      </c>
      <c r="J7" s="46" t="s">
        <v>84</v>
      </c>
    </row>
    <row r="8" spans="1:10" s="1" customFormat="1" ht="37.5" customHeight="1">
      <c r="A8" s="68" t="s">
        <v>105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s="1" customFormat="1" ht="31.5">
      <c r="A9" s="104" t="s">
        <v>245</v>
      </c>
      <c r="B9" s="69">
        <v>0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129">
        <v>9400</v>
      </c>
    </row>
    <row r="10" spans="1:10" s="1" customFormat="1" ht="31.5">
      <c r="A10" s="104" t="s">
        <v>246</v>
      </c>
      <c r="B10" s="69">
        <v>0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130">
        <v>4992.89</v>
      </c>
    </row>
    <row r="11" spans="1:10" s="1" customFormat="1" ht="31.5">
      <c r="A11" s="104" t="s">
        <v>247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129">
        <v>20000</v>
      </c>
    </row>
    <row r="12" spans="1:10" s="1" customFormat="1" ht="15.75">
      <c r="A12" s="69" t="s">
        <v>106</v>
      </c>
      <c r="B12" s="69">
        <f>B9+B10+B11</f>
        <v>0</v>
      </c>
      <c r="C12" s="69">
        <f aca="true" t="shared" si="0" ref="C12:J12">C9+C10+C11</f>
        <v>0</v>
      </c>
      <c r="D12" s="69">
        <f t="shared" si="0"/>
        <v>0</v>
      </c>
      <c r="E12" s="69">
        <f t="shared" si="0"/>
        <v>0</v>
      </c>
      <c r="F12" s="69">
        <f t="shared" si="0"/>
        <v>0</v>
      </c>
      <c r="G12" s="69">
        <f t="shared" si="0"/>
        <v>0</v>
      </c>
      <c r="H12" s="69">
        <f t="shared" si="0"/>
        <v>0</v>
      </c>
      <c r="I12" s="69">
        <f t="shared" si="0"/>
        <v>0</v>
      </c>
      <c r="J12" s="69">
        <f t="shared" si="0"/>
        <v>34392.89</v>
      </c>
    </row>
    <row r="13" spans="1:10" s="1" customFormat="1" ht="53.25" customHeight="1">
      <c r="A13" s="68" t="s">
        <v>122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s="1" customFormat="1" ht="31.5">
      <c r="A14" s="104" t="s">
        <v>197</v>
      </c>
      <c r="B14" s="69">
        <v>0</v>
      </c>
      <c r="C14" s="69">
        <v>297.16667</v>
      </c>
      <c r="D14" s="69">
        <v>0</v>
      </c>
      <c r="E14" s="69">
        <v>0</v>
      </c>
      <c r="F14" s="69">
        <v>297.891</v>
      </c>
      <c r="G14" s="69">
        <v>0</v>
      </c>
      <c r="H14" s="69"/>
      <c r="I14" s="69">
        <v>297.891</v>
      </c>
      <c r="J14" s="69">
        <v>0</v>
      </c>
    </row>
    <row r="15" spans="1:10" s="1" customFormat="1" ht="15.75" hidden="1">
      <c r="A15" s="69"/>
      <c r="B15" s="69"/>
      <c r="C15" s="69"/>
      <c r="D15" s="69"/>
      <c r="E15" s="69"/>
      <c r="F15" s="69"/>
      <c r="G15" s="69"/>
      <c r="H15" s="69"/>
      <c r="I15" s="69"/>
      <c r="J15" s="69"/>
    </row>
    <row r="16" spans="1:10" s="1" customFormat="1" ht="15.75">
      <c r="A16" s="69" t="s">
        <v>106</v>
      </c>
      <c r="B16" s="69">
        <f>B14</f>
        <v>0</v>
      </c>
      <c r="C16" s="69">
        <f aca="true" t="shared" si="1" ref="C16:J16">C14</f>
        <v>297.16667</v>
      </c>
      <c r="D16" s="69">
        <f t="shared" si="1"/>
        <v>0</v>
      </c>
      <c r="E16" s="69">
        <f t="shared" si="1"/>
        <v>0</v>
      </c>
      <c r="F16" s="69">
        <f t="shared" si="1"/>
        <v>297.891</v>
      </c>
      <c r="G16" s="69">
        <f t="shared" si="1"/>
        <v>0</v>
      </c>
      <c r="H16" s="69">
        <f t="shared" si="1"/>
        <v>0</v>
      </c>
      <c r="I16" s="69">
        <f t="shared" si="1"/>
        <v>297.891</v>
      </c>
      <c r="J16" s="69">
        <f t="shared" si="1"/>
        <v>0</v>
      </c>
    </row>
    <row r="17" spans="1:10" s="1" customFormat="1" ht="15.75">
      <c r="A17" s="69" t="s">
        <v>107</v>
      </c>
      <c r="B17" s="69">
        <f>B12+B16</f>
        <v>0</v>
      </c>
      <c r="C17" s="69">
        <f aca="true" t="shared" si="2" ref="C17:J17">C12+C16</f>
        <v>297.16667</v>
      </c>
      <c r="D17" s="69">
        <f t="shared" si="2"/>
        <v>0</v>
      </c>
      <c r="E17" s="69">
        <f t="shared" si="2"/>
        <v>0</v>
      </c>
      <c r="F17" s="69">
        <f t="shared" si="2"/>
        <v>297.891</v>
      </c>
      <c r="G17" s="69">
        <f t="shared" si="2"/>
        <v>0</v>
      </c>
      <c r="H17" s="69">
        <f t="shared" si="2"/>
        <v>0</v>
      </c>
      <c r="I17" s="69">
        <f t="shared" si="2"/>
        <v>297.891</v>
      </c>
      <c r="J17" s="69">
        <f t="shared" si="2"/>
        <v>34392.89</v>
      </c>
    </row>
  </sheetData>
  <sheetProtection/>
  <mergeCells count="7">
    <mergeCell ref="A2:J2"/>
    <mergeCell ref="A6:A7"/>
    <mergeCell ref="B6:D6"/>
    <mergeCell ref="E6:G6"/>
    <mergeCell ref="H6:J6"/>
    <mergeCell ref="A3:J3"/>
    <mergeCell ref="A4:J4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D24" sqref="D24"/>
    </sheetView>
  </sheetViews>
  <sheetFormatPr defaultColWidth="14.75390625" defaultRowHeight="12.75"/>
  <cols>
    <col min="1" max="1" width="8.25390625" style="0" customWidth="1"/>
    <col min="2" max="2" width="44.75390625" style="0" customWidth="1"/>
    <col min="3" max="5" width="13.25390625" style="0" customWidth="1"/>
    <col min="6" max="7" width="14.375" style="0" customWidth="1"/>
    <col min="8" max="8" width="13.25390625" style="0" customWidth="1"/>
    <col min="9" max="9" width="11.25390625" style="0" customWidth="1"/>
    <col min="10" max="10" width="11.75390625" style="0" customWidth="1"/>
    <col min="11" max="253" width="8.875" style="0" customWidth="1"/>
    <col min="254" max="254" width="30.75390625" style="0" customWidth="1"/>
    <col min="255" max="255" width="10.25390625" style="0" customWidth="1"/>
  </cols>
  <sheetData>
    <row r="1" ht="24" customHeight="1">
      <c r="H1" s="71" t="s">
        <v>133</v>
      </c>
    </row>
    <row r="2" spans="1:10" ht="18.75">
      <c r="A2" s="334" t="s">
        <v>85</v>
      </c>
      <c r="B2" s="334"/>
      <c r="C2" s="334"/>
      <c r="D2" s="334"/>
      <c r="E2" s="334"/>
      <c r="F2" s="334"/>
      <c r="G2" s="334"/>
      <c r="H2" s="334"/>
      <c r="I2" s="47"/>
      <c r="J2" s="47"/>
    </row>
    <row r="3" spans="1:10" ht="22.5" customHeight="1">
      <c r="A3" s="346" t="s">
        <v>201</v>
      </c>
      <c r="B3" s="347"/>
      <c r="C3" s="347"/>
      <c r="D3" s="347"/>
      <c r="E3" s="347"/>
      <c r="F3" s="347"/>
      <c r="G3" s="347"/>
      <c r="H3" s="347"/>
      <c r="I3" s="47"/>
      <c r="J3" s="47"/>
    </row>
    <row r="4" spans="1:10" ht="12" customHeight="1">
      <c r="A4" s="348" t="s">
        <v>86</v>
      </c>
      <c r="B4" s="348"/>
      <c r="C4" s="348"/>
      <c r="D4" s="348"/>
      <c r="E4" s="348"/>
      <c r="F4" s="348"/>
      <c r="G4" s="348"/>
      <c r="H4" s="348"/>
      <c r="I4" s="47"/>
      <c r="J4" s="47"/>
    </row>
    <row r="5" spans="2:10" ht="23.25" customHeight="1">
      <c r="B5" s="3"/>
      <c r="C5" s="3"/>
      <c r="D5" s="3"/>
      <c r="E5" s="3"/>
      <c r="F5" s="3"/>
      <c r="G5" s="3"/>
      <c r="H5" s="18" t="s">
        <v>10</v>
      </c>
      <c r="I5" s="3"/>
      <c r="J5" s="3"/>
    </row>
    <row r="6" spans="1:10" s="49" customFormat="1" ht="38.25" customHeight="1">
      <c r="A6" s="349" t="s">
        <v>87</v>
      </c>
      <c r="B6" s="349" t="s">
        <v>88</v>
      </c>
      <c r="C6" s="302" t="s">
        <v>190</v>
      </c>
      <c r="D6" s="303"/>
      <c r="E6" s="343"/>
      <c r="F6" s="302" t="s">
        <v>191</v>
      </c>
      <c r="G6" s="303"/>
      <c r="H6" s="343"/>
      <c r="I6" s="48"/>
      <c r="J6" s="48"/>
    </row>
    <row r="7" spans="1:10" s="51" customFormat="1" ht="15.75">
      <c r="A7" s="350"/>
      <c r="B7" s="350"/>
      <c r="C7" s="50" t="s">
        <v>82</v>
      </c>
      <c r="D7" s="50" t="s">
        <v>83</v>
      </c>
      <c r="E7" s="50" t="s">
        <v>84</v>
      </c>
      <c r="F7" s="50" t="s">
        <v>82</v>
      </c>
      <c r="G7" s="50" t="s">
        <v>83</v>
      </c>
      <c r="H7" s="50" t="s">
        <v>84</v>
      </c>
      <c r="I7" s="48"/>
      <c r="J7" s="48"/>
    </row>
    <row r="8" spans="1:10" ht="63">
      <c r="A8" s="105" t="s">
        <v>198</v>
      </c>
      <c r="B8" s="106" t="s">
        <v>244</v>
      </c>
      <c r="C8" s="30">
        <v>0</v>
      </c>
      <c r="D8" s="127">
        <f>475+75.08649</f>
        <v>550.08649</v>
      </c>
      <c r="E8" s="127">
        <f>25+50</f>
        <v>75</v>
      </c>
      <c r="F8" s="30">
        <v>0</v>
      </c>
      <c r="G8" s="30">
        <v>475</v>
      </c>
      <c r="H8" s="30">
        <v>25</v>
      </c>
      <c r="I8" s="3"/>
      <c r="J8" s="3"/>
    </row>
    <row r="9" spans="1:10" ht="110.25">
      <c r="A9" s="105" t="s">
        <v>199</v>
      </c>
      <c r="B9" s="106" t="s">
        <v>200</v>
      </c>
      <c r="C9" s="30">
        <v>0</v>
      </c>
      <c r="D9" s="30">
        <v>0</v>
      </c>
      <c r="E9" s="30">
        <v>1489.94332</v>
      </c>
      <c r="F9" s="30">
        <v>0</v>
      </c>
      <c r="G9" s="30">
        <v>0</v>
      </c>
      <c r="H9" s="30">
        <v>0</v>
      </c>
      <c r="I9" s="3"/>
      <c r="J9" s="3"/>
    </row>
    <row r="10" spans="1:10" ht="15.75" hidden="1">
      <c r="A10" s="52"/>
      <c r="B10" s="29"/>
      <c r="C10" s="30"/>
      <c r="D10" s="30"/>
      <c r="E10" s="30"/>
      <c r="F10" s="30"/>
      <c r="G10" s="30"/>
      <c r="H10" s="30"/>
      <c r="I10" s="3"/>
      <c r="J10" s="3"/>
    </row>
    <row r="11" spans="1:10" ht="15.75" hidden="1">
      <c r="A11" s="52"/>
      <c r="B11" s="29"/>
      <c r="C11" s="30"/>
      <c r="D11" s="30"/>
      <c r="E11" s="30"/>
      <c r="F11" s="30"/>
      <c r="G11" s="30"/>
      <c r="H11" s="30"/>
      <c r="I11" s="3"/>
      <c r="J11" s="3"/>
    </row>
    <row r="12" spans="1:10" ht="15.75" hidden="1">
      <c r="A12" s="52"/>
      <c r="B12" s="32"/>
      <c r="C12" s="30"/>
      <c r="D12" s="30"/>
      <c r="E12" s="30"/>
      <c r="F12" s="30"/>
      <c r="G12" s="30"/>
      <c r="H12" s="30"/>
      <c r="I12" s="3"/>
      <c r="J12" s="3"/>
    </row>
    <row r="13" spans="1:10" ht="15.75" hidden="1">
      <c r="A13" s="52"/>
      <c r="B13" s="29"/>
      <c r="C13" s="30"/>
      <c r="D13" s="30"/>
      <c r="E13" s="30"/>
      <c r="F13" s="30"/>
      <c r="G13" s="30"/>
      <c r="H13" s="30"/>
      <c r="I13" s="3"/>
      <c r="J13" s="3"/>
    </row>
    <row r="14" spans="1:10" ht="15.75" hidden="1">
      <c r="A14" s="52"/>
      <c r="B14" s="31"/>
      <c r="C14" s="30"/>
      <c r="D14" s="30"/>
      <c r="E14" s="30"/>
      <c r="F14" s="30"/>
      <c r="G14" s="30"/>
      <c r="H14" s="30"/>
      <c r="I14" s="3"/>
      <c r="J14" s="3"/>
    </row>
    <row r="15" spans="1:10" ht="15.75" hidden="1">
      <c r="A15" s="52"/>
      <c r="B15" s="31"/>
      <c r="C15" s="30"/>
      <c r="D15" s="30"/>
      <c r="E15" s="30"/>
      <c r="F15" s="30"/>
      <c r="G15" s="30"/>
      <c r="H15" s="30"/>
      <c r="I15" s="3"/>
      <c r="J15" s="3"/>
    </row>
    <row r="16" spans="1:10" ht="15.75" hidden="1">
      <c r="A16" s="52"/>
      <c r="B16" s="31"/>
      <c r="C16" s="30"/>
      <c r="D16" s="30"/>
      <c r="E16" s="30"/>
      <c r="F16" s="30"/>
      <c r="G16" s="30"/>
      <c r="H16" s="30"/>
      <c r="I16" s="3"/>
      <c r="J16" s="3"/>
    </row>
    <row r="17" spans="1:10" s="51" customFormat="1" ht="15.75">
      <c r="A17" s="344" t="s">
        <v>17</v>
      </c>
      <c r="B17" s="345"/>
      <c r="C17" s="34">
        <f aca="true" t="shared" si="0" ref="C17:H17">C8+C9</f>
        <v>0</v>
      </c>
      <c r="D17" s="34">
        <f t="shared" si="0"/>
        <v>550.08649</v>
      </c>
      <c r="E17" s="34">
        <f t="shared" si="0"/>
        <v>1564.94332</v>
      </c>
      <c r="F17" s="34">
        <f t="shared" si="0"/>
        <v>0</v>
      </c>
      <c r="G17" s="34">
        <f t="shared" si="0"/>
        <v>475</v>
      </c>
      <c r="H17" s="34">
        <f t="shared" si="0"/>
        <v>25</v>
      </c>
      <c r="I17" s="48"/>
      <c r="J17" s="48"/>
    </row>
    <row r="18" spans="2:10" ht="12.75">
      <c r="B18" s="3"/>
      <c r="C18" s="128"/>
      <c r="D18" s="3"/>
      <c r="E18" s="3"/>
      <c r="F18" s="3"/>
      <c r="G18" s="3"/>
      <c r="H18" s="3"/>
      <c r="I18" s="3"/>
      <c r="J18" s="3"/>
    </row>
    <row r="19" spans="2:10" ht="12.75">
      <c r="B19" s="3"/>
      <c r="C19" s="3"/>
      <c r="D19" s="3"/>
      <c r="E19" s="3"/>
      <c r="F19" s="3"/>
      <c r="G19" s="3"/>
      <c r="H19" s="3"/>
      <c r="I19" s="3"/>
      <c r="J19" s="3"/>
    </row>
    <row r="20" spans="2:10" ht="12.75">
      <c r="B20" s="3"/>
      <c r="C20" s="3"/>
      <c r="D20" s="3"/>
      <c r="E20" s="3"/>
      <c r="F20" s="3"/>
      <c r="G20" s="3"/>
      <c r="H20" s="3"/>
      <c r="I20" s="3"/>
      <c r="J20" s="3"/>
    </row>
    <row r="21" ht="12.75">
      <c r="B21" s="36"/>
    </row>
  </sheetData>
  <sheetProtection/>
  <mergeCells count="8">
    <mergeCell ref="F6:H6"/>
    <mergeCell ref="A17:B17"/>
    <mergeCell ref="A2:H2"/>
    <mergeCell ref="A3:H3"/>
    <mergeCell ref="A4:H4"/>
    <mergeCell ref="A6:A7"/>
    <mergeCell ref="B6:B7"/>
    <mergeCell ref="C6:E6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zoomScalePageLayoutView="0" workbookViewId="0" topLeftCell="A1">
      <selection activeCell="M108" sqref="M108"/>
    </sheetView>
  </sheetViews>
  <sheetFormatPr defaultColWidth="9.00390625" defaultRowHeight="12.75"/>
  <cols>
    <col min="1" max="1" width="58.75390625" style="138" customWidth="1"/>
    <col min="2" max="2" width="18.625" style="138" hidden="1" customWidth="1"/>
    <col min="3" max="3" width="12.25390625" style="138" customWidth="1"/>
    <col min="4" max="4" width="12.125" style="138" customWidth="1"/>
    <col min="5" max="5" width="14.625" style="138" customWidth="1"/>
    <col min="6" max="6" width="14.875" style="138" customWidth="1"/>
    <col min="7" max="9" width="12.375" style="138" customWidth="1"/>
    <col min="10" max="10" width="13.875" style="138" customWidth="1"/>
    <col min="11" max="11" width="12.875" style="138" customWidth="1"/>
    <col min="12" max="12" width="10.375" style="138" customWidth="1"/>
    <col min="13" max="13" width="12.25390625" style="138" customWidth="1"/>
    <col min="14" max="15" width="11.00390625" style="138" customWidth="1"/>
  </cols>
  <sheetData>
    <row r="1" spans="13:15" ht="15">
      <c r="M1" s="139" t="s">
        <v>170</v>
      </c>
      <c r="N1" s="140"/>
      <c r="O1" s="140"/>
    </row>
    <row r="2" spans="1:15" ht="18.75">
      <c r="A2" s="354" t="s">
        <v>265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15" ht="15">
      <c r="A3" s="141" t="s">
        <v>80</v>
      </c>
      <c r="B3" s="142"/>
      <c r="C3" s="143"/>
      <c r="D3" s="143"/>
      <c r="E3" s="144"/>
      <c r="F3" s="145"/>
      <c r="G3" s="146"/>
      <c r="H3" s="146"/>
      <c r="I3" s="146"/>
      <c r="J3" s="146"/>
      <c r="K3" s="146"/>
      <c r="L3" s="146"/>
      <c r="M3" s="146"/>
      <c r="N3" s="146"/>
      <c r="O3" s="147"/>
    </row>
    <row r="4" spans="1:15" ht="15.75">
      <c r="A4" s="355" t="s">
        <v>5</v>
      </c>
      <c r="B4" s="148"/>
      <c r="C4" s="355" t="s">
        <v>141</v>
      </c>
      <c r="D4" s="356" t="s">
        <v>264</v>
      </c>
      <c r="E4" s="357" t="s">
        <v>263</v>
      </c>
      <c r="F4" s="351" t="s">
        <v>266</v>
      </c>
      <c r="G4" s="352" t="s">
        <v>262</v>
      </c>
      <c r="H4" s="352"/>
      <c r="I4" s="359" t="s">
        <v>267</v>
      </c>
      <c r="J4" s="351" t="s">
        <v>261</v>
      </c>
      <c r="K4" s="351" t="s">
        <v>260</v>
      </c>
      <c r="L4" s="352" t="s">
        <v>259</v>
      </c>
      <c r="M4" s="352"/>
      <c r="N4" s="353" t="s">
        <v>258</v>
      </c>
      <c r="O4" s="353"/>
    </row>
    <row r="5" spans="1:15" ht="30">
      <c r="A5" s="355"/>
      <c r="B5" s="148"/>
      <c r="C5" s="355"/>
      <c r="D5" s="356"/>
      <c r="E5" s="358"/>
      <c r="F5" s="351"/>
      <c r="G5" s="151" t="s">
        <v>257</v>
      </c>
      <c r="H5" s="151" t="s">
        <v>255</v>
      </c>
      <c r="I5" s="360"/>
      <c r="J5" s="351"/>
      <c r="K5" s="351"/>
      <c r="L5" s="151" t="s">
        <v>256</v>
      </c>
      <c r="M5" s="151" t="s">
        <v>255</v>
      </c>
      <c r="N5" s="153" t="s">
        <v>254</v>
      </c>
      <c r="O5" s="153" t="s">
        <v>253</v>
      </c>
    </row>
    <row r="6" spans="1:15" ht="15.75">
      <c r="A6" s="148">
        <v>1</v>
      </c>
      <c r="B6" s="148"/>
      <c r="C6" s="148">
        <v>2</v>
      </c>
      <c r="D6" s="149">
        <v>3</v>
      </c>
      <c r="E6" s="152">
        <v>4</v>
      </c>
      <c r="F6" s="150">
        <v>5</v>
      </c>
      <c r="G6" s="151">
        <v>6</v>
      </c>
      <c r="H6" s="151">
        <v>7</v>
      </c>
      <c r="I6" s="152" t="s">
        <v>252</v>
      </c>
      <c r="J6" s="150">
        <v>9</v>
      </c>
      <c r="K6" s="150">
        <v>10</v>
      </c>
      <c r="L6" s="151">
        <v>11</v>
      </c>
      <c r="M6" s="151">
        <v>12</v>
      </c>
      <c r="N6" s="153">
        <v>13</v>
      </c>
      <c r="O6" s="153">
        <v>14</v>
      </c>
    </row>
    <row r="7" spans="1:15" ht="30">
      <c r="A7" s="154" t="s">
        <v>76</v>
      </c>
      <c r="B7" s="154"/>
      <c r="C7" s="155">
        <f>C8+C31</f>
        <v>118127.3094</v>
      </c>
      <c r="D7" s="155">
        <f>D8+D31</f>
        <v>111112.66</v>
      </c>
      <c r="E7" s="156" t="s">
        <v>3</v>
      </c>
      <c r="F7" s="155">
        <f>F8+F31</f>
        <v>114697.06</v>
      </c>
      <c r="G7" s="155">
        <f>G8+G31</f>
        <v>0</v>
      </c>
      <c r="H7" s="155">
        <f>H8+H31</f>
        <v>117677.59999999999</v>
      </c>
      <c r="I7" s="155">
        <f>H7-F7</f>
        <v>2980.5399999999936</v>
      </c>
      <c r="J7" s="157">
        <f>G7/C7</f>
        <v>0</v>
      </c>
      <c r="K7" s="157">
        <f>H7/C7</f>
        <v>0.9961930107247494</v>
      </c>
      <c r="L7" s="155">
        <f>L8+L31</f>
        <v>0</v>
      </c>
      <c r="M7" s="158">
        <f>M8+M31</f>
        <v>123460.06</v>
      </c>
      <c r="N7" s="159" t="e">
        <f>L7/G7</f>
        <v>#DIV/0!</v>
      </c>
      <c r="O7" s="159">
        <f>M7/H7</f>
        <v>1.0491381537352904</v>
      </c>
    </row>
    <row r="8" spans="1:15" ht="15">
      <c r="A8" s="160" t="s">
        <v>19</v>
      </c>
      <c r="B8" s="160"/>
      <c r="C8" s="161">
        <f>C10+C17</f>
        <v>28722.529560000003</v>
      </c>
      <c r="D8" s="161">
        <f>D10+D17</f>
        <v>28234.66</v>
      </c>
      <c r="E8" s="162" t="s">
        <v>3</v>
      </c>
      <c r="F8" s="161">
        <f>F10+F17</f>
        <v>28234.66</v>
      </c>
      <c r="G8" s="161">
        <f>G10+G17</f>
        <v>0</v>
      </c>
      <c r="H8" s="161">
        <f>H10+H17</f>
        <v>30895.2</v>
      </c>
      <c r="I8" s="163">
        <f>H8-F8</f>
        <v>2660.540000000001</v>
      </c>
      <c r="J8" s="164">
        <f>G8/C8</f>
        <v>0</v>
      </c>
      <c r="K8" s="164">
        <f>H8/C8</f>
        <v>1.0756434225426208</v>
      </c>
      <c r="L8" s="161">
        <f>L10+L17</f>
        <v>0</v>
      </c>
      <c r="M8" s="161">
        <f>M10+M17</f>
        <v>31143.36</v>
      </c>
      <c r="N8" s="165" t="e">
        <f>L8/G8</f>
        <v>#DIV/0!</v>
      </c>
      <c r="O8" s="165">
        <f>M8/H8</f>
        <v>1.0080323156995261</v>
      </c>
    </row>
    <row r="9" spans="1:15" ht="15">
      <c r="A9" s="166" t="s">
        <v>49</v>
      </c>
      <c r="B9" s="166"/>
      <c r="C9" s="167"/>
      <c r="D9" s="168"/>
      <c r="E9" s="169"/>
      <c r="F9" s="168"/>
      <c r="G9" s="168"/>
      <c r="H9" s="168"/>
      <c r="I9" s="170"/>
      <c r="J9" s="171"/>
      <c r="K9" s="171"/>
      <c r="L9" s="168"/>
      <c r="M9" s="168"/>
      <c r="N9" s="171"/>
      <c r="O9" s="171"/>
    </row>
    <row r="10" spans="1:15" ht="15">
      <c r="A10" s="166" t="s">
        <v>50</v>
      </c>
      <c r="B10" s="166"/>
      <c r="C10" s="167">
        <v>17848.60119</v>
      </c>
      <c r="D10" s="168">
        <v>17998.96</v>
      </c>
      <c r="E10" s="169" t="s">
        <v>3</v>
      </c>
      <c r="F10" s="172">
        <v>17998.96</v>
      </c>
      <c r="G10" s="173"/>
      <c r="H10" s="172">
        <v>19834.4</v>
      </c>
      <c r="I10" s="174">
        <f aca="true" t="shared" si="0" ref="I10:I17">H10-F10</f>
        <v>1835.4400000000023</v>
      </c>
      <c r="J10" s="175">
        <f aca="true" t="shared" si="1" ref="J10:J17">G10/C10</f>
        <v>0</v>
      </c>
      <c r="K10" s="176">
        <f aca="true" t="shared" si="2" ref="K10:K17">H10/C10</f>
        <v>1.1112579517498873</v>
      </c>
      <c r="L10" s="173"/>
      <c r="M10" s="172">
        <v>20630.66</v>
      </c>
      <c r="N10" s="171" t="e">
        <f aca="true" t="shared" si="3" ref="N10:O17">L10/G10</f>
        <v>#DIV/0!</v>
      </c>
      <c r="O10" s="171">
        <f t="shared" si="3"/>
        <v>1.0401454039446618</v>
      </c>
    </row>
    <row r="11" spans="1:15" ht="15">
      <c r="A11" s="166" t="s">
        <v>51</v>
      </c>
      <c r="B11" s="166"/>
      <c r="C11" s="167">
        <v>12197.43597</v>
      </c>
      <c r="D11" s="168">
        <v>12169.7</v>
      </c>
      <c r="E11" s="169" t="s">
        <v>3</v>
      </c>
      <c r="F11" s="172">
        <v>12169.7</v>
      </c>
      <c r="G11" s="168"/>
      <c r="H11" s="172">
        <v>13831.8</v>
      </c>
      <c r="I11" s="170">
        <f t="shared" si="0"/>
        <v>1662.0999999999985</v>
      </c>
      <c r="J11" s="175">
        <f t="shared" si="1"/>
        <v>0</v>
      </c>
      <c r="K11" s="176">
        <f t="shared" si="2"/>
        <v>1.1339924254589056</v>
      </c>
      <c r="L11" s="168"/>
      <c r="M11" s="172">
        <v>14509.56</v>
      </c>
      <c r="N11" s="171" t="e">
        <f t="shared" si="3"/>
        <v>#DIV/0!</v>
      </c>
      <c r="O11" s="171">
        <f t="shared" si="3"/>
        <v>1.0490001301349066</v>
      </c>
    </row>
    <row r="12" spans="1:15" ht="15">
      <c r="A12" s="166" t="s">
        <v>52</v>
      </c>
      <c r="B12" s="166"/>
      <c r="C12" s="167">
        <v>2573.93279</v>
      </c>
      <c r="D12" s="168">
        <v>2429.7</v>
      </c>
      <c r="E12" s="169" t="s">
        <v>3</v>
      </c>
      <c r="F12" s="172">
        <v>2429.7</v>
      </c>
      <c r="G12" s="168"/>
      <c r="H12" s="172">
        <v>2611.6</v>
      </c>
      <c r="I12" s="170">
        <f t="shared" si="0"/>
        <v>181.9000000000001</v>
      </c>
      <c r="J12" s="175">
        <f t="shared" si="1"/>
        <v>0</v>
      </c>
      <c r="K12" s="176">
        <f t="shared" si="2"/>
        <v>1.0146341078315413</v>
      </c>
      <c r="L12" s="168"/>
      <c r="M12" s="172">
        <v>2818.1</v>
      </c>
      <c r="N12" s="171" t="e">
        <f t="shared" si="3"/>
        <v>#DIV/0!</v>
      </c>
      <c r="O12" s="171">
        <f t="shared" si="3"/>
        <v>1.0790703017307397</v>
      </c>
    </row>
    <row r="13" spans="1:15" ht="15">
      <c r="A13" s="166" t="s">
        <v>53</v>
      </c>
      <c r="B13" s="166"/>
      <c r="C13" s="167">
        <v>1391.53118</v>
      </c>
      <c r="D13" s="168">
        <v>1408.16</v>
      </c>
      <c r="E13" s="169" t="s">
        <v>3</v>
      </c>
      <c r="F13" s="172">
        <v>1408.16</v>
      </c>
      <c r="G13" s="168"/>
      <c r="H13" s="172">
        <v>1526</v>
      </c>
      <c r="I13" s="170">
        <f t="shared" si="0"/>
        <v>117.83999999999992</v>
      </c>
      <c r="J13" s="175">
        <f t="shared" si="1"/>
        <v>0</v>
      </c>
      <c r="K13" s="176">
        <f t="shared" si="2"/>
        <v>1.0966337096377532</v>
      </c>
      <c r="L13" s="168"/>
      <c r="M13" s="172">
        <v>1348</v>
      </c>
      <c r="N13" s="171" t="e">
        <f t="shared" si="3"/>
        <v>#DIV/0!</v>
      </c>
      <c r="O13" s="171">
        <f t="shared" si="3"/>
        <v>0.8833551769331586</v>
      </c>
    </row>
    <row r="14" spans="1:15" ht="30">
      <c r="A14" s="166" t="s">
        <v>195</v>
      </c>
      <c r="B14" s="166"/>
      <c r="C14" s="167">
        <v>838.35987</v>
      </c>
      <c r="D14" s="168">
        <v>1035.9</v>
      </c>
      <c r="E14" s="169" t="s">
        <v>3</v>
      </c>
      <c r="F14" s="172">
        <v>1035.9</v>
      </c>
      <c r="G14" s="168"/>
      <c r="H14" s="172">
        <v>903</v>
      </c>
      <c r="I14" s="170">
        <f t="shared" si="0"/>
        <v>-132.9000000000001</v>
      </c>
      <c r="J14" s="175">
        <f t="shared" si="1"/>
        <v>0</v>
      </c>
      <c r="K14" s="176">
        <f t="shared" si="2"/>
        <v>1.077103082236033</v>
      </c>
      <c r="L14" s="168"/>
      <c r="M14" s="172">
        <v>1035</v>
      </c>
      <c r="N14" s="171" t="e">
        <f t="shared" si="3"/>
        <v>#DIV/0!</v>
      </c>
      <c r="O14" s="171">
        <f t="shared" si="3"/>
        <v>1.1461794019933556</v>
      </c>
    </row>
    <row r="15" spans="1:15" ht="15">
      <c r="A15" s="166" t="s">
        <v>54</v>
      </c>
      <c r="B15" s="166"/>
      <c r="C15" s="167">
        <v>164.25017</v>
      </c>
      <c r="D15" s="168">
        <v>110</v>
      </c>
      <c r="E15" s="169" t="s">
        <v>3</v>
      </c>
      <c r="F15" s="172">
        <v>110</v>
      </c>
      <c r="G15" s="168"/>
      <c r="H15" s="172">
        <v>160</v>
      </c>
      <c r="I15" s="170">
        <f t="shared" si="0"/>
        <v>50</v>
      </c>
      <c r="J15" s="175">
        <f t="shared" si="1"/>
        <v>0</v>
      </c>
      <c r="K15" s="176">
        <f t="shared" si="2"/>
        <v>0.9741238015157001</v>
      </c>
      <c r="L15" s="168"/>
      <c r="M15" s="172">
        <v>165</v>
      </c>
      <c r="N15" s="171" t="e">
        <f t="shared" si="3"/>
        <v>#DIV/0!</v>
      </c>
      <c r="O15" s="171">
        <f t="shared" si="3"/>
        <v>1.03125</v>
      </c>
    </row>
    <row r="16" spans="1:15" ht="15">
      <c r="A16" s="166" t="s">
        <v>55</v>
      </c>
      <c r="B16" s="166"/>
      <c r="C16" s="167">
        <v>275.12608</v>
      </c>
      <c r="D16" s="168">
        <v>341</v>
      </c>
      <c r="E16" s="169" t="s">
        <v>3</v>
      </c>
      <c r="F16" s="172">
        <v>341</v>
      </c>
      <c r="G16" s="168"/>
      <c r="H16" s="172">
        <v>344</v>
      </c>
      <c r="I16" s="170">
        <f t="shared" si="0"/>
        <v>3</v>
      </c>
      <c r="J16" s="175">
        <f t="shared" si="1"/>
        <v>0</v>
      </c>
      <c r="K16" s="176">
        <f t="shared" si="2"/>
        <v>1.2503358460237575</v>
      </c>
      <c r="L16" s="168"/>
      <c r="M16" s="172">
        <v>297</v>
      </c>
      <c r="N16" s="171" t="e">
        <f t="shared" si="3"/>
        <v>#DIV/0!</v>
      </c>
      <c r="O16" s="171">
        <f t="shared" si="3"/>
        <v>0.8633720930232558</v>
      </c>
    </row>
    <row r="17" spans="1:15" ht="15">
      <c r="A17" s="166" t="s">
        <v>56</v>
      </c>
      <c r="B17" s="166"/>
      <c r="C17" s="167">
        <v>10873.92837</v>
      </c>
      <c r="D17" s="168">
        <v>10235.7</v>
      </c>
      <c r="E17" s="169" t="s">
        <v>3</v>
      </c>
      <c r="F17" s="172">
        <v>10235.7</v>
      </c>
      <c r="G17" s="173"/>
      <c r="H17" s="172">
        <v>11060.8</v>
      </c>
      <c r="I17" s="174">
        <f t="shared" si="0"/>
        <v>825.0999999999985</v>
      </c>
      <c r="J17" s="175">
        <f t="shared" si="1"/>
        <v>0</v>
      </c>
      <c r="K17" s="176">
        <f t="shared" si="2"/>
        <v>1.0171852916114068</v>
      </c>
      <c r="L17" s="173"/>
      <c r="M17" s="172">
        <f>10426.7+86</f>
        <v>10512.7</v>
      </c>
      <c r="N17" s="171" t="e">
        <f t="shared" si="3"/>
        <v>#DIV/0!</v>
      </c>
      <c r="O17" s="171">
        <f t="shared" si="3"/>
        <v>0.9504466223058008</v>
      </c>
    </row>
    <row r="18" spans="1:15" ht="15">
      <c r="A18" s="166" t="s">
        <v>57</v>
      </c>
      <c r="B18" s="166"/>
      <c r="C18" s="167"/>
      <c r="D18" s="168"/>
      <c r="E18" s="169"/>
      <c r="F18" s="172"/>
      <c r="G18" s="173"/>
      <c r="H18" s="172"/>
      <c r="I18" s="174"/>
      <c r="J18" s="175"/>
      <c r="K18" s="176"/>
      <c r="L18" s="173"/>
      <c r="M18" s="172"/>
      <c r="N18" s="171"/>
      <c r="O18" s="171"/>
    </row>
    <row r="19" spans="1:15" ht="30">
      <c r="A19" s="166" t="s">
        <v>58</v>
      </c>
      <c r="B19" s="166"/>
      <c r="C19" s="167">
        <v>7174.25403</v>
      </c>
      <c r="D19" s="168">
        <v>6694.2</v>
      </c>
      <c r="E19" s="169" t="s">
        <v>3</v>
      </c>
      <c r="F19" s="172">
        <v>6674.7</v>
      </c>
      <c r="G19" s="173"/>
      <c r="H19" s="172">
        <v>6870.7</v>
      </c>
      <c r="I19" s="174">
        <f aca="true" t="shared" si="4" ref="I19:I25">H19-F19</f>
        <v>196</v>
      </c>
      <c r="J19" s="175">
        <f aca="true" t="shared" si="5" ref="J19:J25">G19/C19</f>
        <v>0</v>
      </c>
      <c r="K19" s="176">
        <f aca="true" t="shared" si="6" ref="K19:K25">H19/C19</f>
        <v>0.9576884190703796</v>
      </c>
      <c r="L19" s="173"/>
      <c r="M19" s="172">
        <f>6789+86</f>
        <v>6875</v>
      </c>
      <c r="N19" s="171" t="e">
        <f aca="true" t="shared" si="7" ref="N19:O25">L19/G19</f>
        <v>#DIV/0!</v>
      </c>
      <c r="O19" s="171">
        <f t="shared" si="7"/>
        <v>1.0006258459836699</v>
      </c>
    </row>
    <row r="20" spans="1:15" ht="15">
      <c r="A20" s="177" t="s">
        <v>59</v>
      </c>
      <c r="B20" s="177"/>
      <c r="C20" s="167">
        <f>6579.54046+0.40833</f>
        <v>6579.94879</v>
      </c>
      <c r="D20" s="168">
        <f>6094.2</f>
        <v>6094.2</v>
      </c>
      <c r="E20" s="169" t="s">
        <v>3</v>
      </c>
      <c r="F20" s="172">
        <f>6074.7</f>
        <v>6074.7</v>
      </c>
      <c r="G20" s="173"/>
      <c r="H20" s="172">
        <f>6094.2</f>
        <v>6094.2</v>
      </c>
      <c r="I20" s="174">
        <f t="shared" si="4"/>
        <v>19.5</v>
      </c>
      <c r="J20" s="175">
        <f t="shared" si="5"/>
        <v>0</v>
      </c>
      <c r="K20" s="176">
        <f t="shared" si="6"/>
        <v>0.9261774209036054</v>
      </c>
      <c r="L20" s="173"/>
      <c r="M20" s="172">
        <f>6150+2</f>
        <v>6152</v>
      </c>
      <c r="N20" s="171" t="e">
        <f t="shared" si="7"/>
        <v>#DIV/0!</v>
      </c>
      <c r="O20" s="171">
        <f t="shared" si="7"/>
        <v>1.0094844278166126</v>
      </c>
    </row>
    <row r="21" spans="1:15" ht="15">
      <c r="A21" s="178" t="s">
        <v>60</v>
      </c>
      <c r="B21" s="178"/>
      <c r="C21" s="179">
        <v>271.93828</v>
      </c>
      <c r="D21" s="168">
        <v>22.3</v>
      </c>
      <c r="E21" s="169" t="s">
        <v>3</v>
      </c>
      <c r="F21" s="172">
        <v>22.3</v>
      </c>
      <c r="G21" s="173"/>
      <c r="H21" s="172">
        <v>200</v>
      </c>
      <c r="I21" s="174">
        <f t="shared" si="4"/>
        <v>177.7</v>
      </c>
      <c r="J21" s="175">
        <f t="shared" si="5"/>
        <v>0</v>
      </c>
      <c r="K21" s="176">
        <f t="shared" si="6"/>
        <v>0.7354610024009859</v>
      </c>
      <c r="L21" s="173"/>
      <c r="M21" s="172">
        <v>20</v>
      </c>
      <c r="N21" s="171" t="e">
        <f t="shared" si="7"/>
        <v>#DIV/0!</v>
      </c>
      <c r="O21" s="171">
        <f t="shared" si="7"/>
        <v>0.1</v>
      </c>
    </row>
    <row r="22" spans="1:15" ht="15">
      <c r="A22" s="178" t="s">
        <v>139</v>
      </c>
      <c r="B22" s="178"/>
      <c r="C22" s="179">
        <v>24.55383</v>
      </c>
      <c r="D22" s="168">
        <v>37.6</v>
      </c>
      <c r="E22" s="169" t="s">
        <v>3</v>
      </c>
      <c r="F22" s="172">
        <v>57.1</v>
      </c>
      <c r="G22" s="173"/>
      <c r="H22" s="172">
        <v>57.1</v>
      </c>
      <c r="I22" s="174">
        <f t="shared" si="4"/>
        <v>0</v>
      </c>
      <c r="J22" s="175">
        <f t="shared" si="5"/>
        <v>0</v>
      </c>
      <c r="K22" s="176">
        <f t="shared" si="6"/>
        <v>2.3255027830688735</v>
      </c>
      <c r="L22" s="173"/>
      <c r="M22" s="172">
        <v>37.7</v>
      </c>
      <c r="N22" s="171" t="e">
        <f t="shared" si="7"/>
        <v>#DIV/0!</v>
      </c>
      <c r="O22" s="171">
        <f t="shared" si="7"/>
        <v>0.660245183887916</v>
      </c>
    </row>
    <row r="23" spans="1:15" ht="15">
      <c r="A23" s="178" t="s">
        <v>194</v>
      </c>
      <c r="B23" s="178"/>
      <c r="C23" s="179">
        <v>218.6092</v>
      </c>
      <c r="D23" s="168">
        <v>110</v>
      </c>
      <c r="E23" s="169" t="s">
        <v>3</v>
      </c>
      <c r="F23" s="172">
        <v>110</v>
      </c>
      <c r="G23" s="173"/>
      <c r="H23" s="172">
        <v>240</v>
      </c>
      <c r="I23" s="174">
        <f t="shared" si="4"/>
        <v>130</v>
      </c>
      <c r="J23" s="175">
        <f t="shared" si="5"/>
        <v>0</v>
      </c>
      <c r="K23" s="176">
        <f t="shared" si="6"/>
        <v>1.097849495812619</v>
      </c>
      <c r="L23" s="173"/>
      <c r="M23" s="172">
        <v>209</v>
      </c>
      <c r="N23" s="171" t="e">
        <f t="shared" si="7"/>
        <v>#DIV/0!</v>
      </c>
      <c r="O23" s="171">
        <f t="shared" si="7"/>
        <v>0.8708333333333333</v>
      </c>
    </row>
    <row r="24" spans="1:15" ht="45">
      <c r="A24" s="180" t="s">
        <v>192</v>
      </c>
      <c r="B24" s="180"/>
      <c r="C24" s="179" t="s">
        <v>251</v>
      </c>
      <c r="D24" s="168" t="s">
        <v>251</v>
      </c>
      <c r="E24" s="169" t="s">
        <v>3</v>
      </c>
      <c r="F24" s="172" t="s">
        <v>251</v>
      </c>
      <c r="G24" s="173"/>
      <c r="H24" s="172" t="s">
        <v>251</v>
      </c>
      <c r="I24" s="174" t="e">
        <f t="shared" si="4"/>
        <v>#VALUE!</v>
      </c>
      <c r="J24" s="175" t="e">
        <f t="shared" si="5"/>
        <v>#VALUE!</v>
      </c>
      <c r="K24" s="176" t="e">
        <f t="shared" si="6"/>
        <v>#VALUE!</v>
      </c>
      <c r="L24" s="173"/>
      <c r="M24" s="172" t="s">
        <v>251</v>
      </c>
      <c r="N24" s="171" t="e">
        <f t="shared" si="7"/>
        <v>#DIV/0!</v>
      </c>
      <c r="O24" s="171" t="e">
        <f t="shared" si="7"/>
        <v>#VALUE!</v>
      </c>
    </row>
    <row r="25" spans="1:15" ht="60">
      <c r="A25" s="180" t="s">
        <v>196</v>
      </c>
      <c r="B25" s="180"/>
      <c r="C25" s="179" t="s">
        <v>251</v>
      </c>
      <c r="D25" s="168" t="s">
        <v>251</v>
      </c>
      <c r="E25" s="169" t="s">
        <v>3</v>
      </c>
      <c r="F25" s="172">
        <v>0.07</v>
      </c>
      <c r="G25" s="173"/>
      <c r="H25" s="172">
        <v>0.07</v>
      </c>
      <c r="I25" s="174">
        <f t="shared" si="4"/>
        <v>0</v>
      </c>
      <c r="J25" s="175" t="e">
        <f t="shared" si="5"/>
        <v>#VALUE!</v>
      </c>
      <c r="K25" s="176" t="e">
        <f t="shared" si="6"/>
        <v>#VALUE!</v>
      </c>
      <c r="L25" s="173"/>
      <c r="M25" s="172" t="s">
        <v>251</v>
      </c>
      <c r="N25" s="171" t="e">
        <f t="shared" si="7"/>
        <v>#DIV/0!</v>
      </c>
      <c r="O25" s="171" t="e">
        <f t="shared" si="7"/>
        <v>#VALUE!</v>
      </c>
    </row>
    <row r="26" spans="1:15" ht="15">
      <c r="A26" s="181" t="s">
        <v>20</v>
      </c>
      <c r="B26" s="181"/>
      <c r="C26" s="182"/>
      <c r="D26" s="183"/>
      <c r="E26" s="183"/>
      <c r="F26" s="183"/>
      <c r="G26" s="183"/>
      <c r="H26" s="183"/>
      <c r="I26" s="184"/>
      <c r="J26" s="185"/>
      <c r="K26" s="185"/>
      <c r="L26" s="183"/>
      <c r="M26" s="183"/>
      <c r="N26" s="186"/>
      <c r="O26" s="186"/>
    </row>
    <row r="27" spans="1:15" ht="15">
      <c r="A27" s="166" t="s">
        <v>21</v>
      </c>
      <c r="B27" s="166"/>
      <c r="C27" s="187"/>
      <c r="D27" s="168"/>
      <c r="E27" s="169" t="s">
        <v>3</v>
      </c>
      <c r="F27" s="172"/>
      <c r="G27" s="173"/>
      <c r="H27" s="168"/>
      <c r="I27" s="170">
        <f>H27-F27</f>
        <v>0</v>
      </c>
      <c r="J27" s="175" t="e">
        <f>G27/C27</f>
        <v>#DIV/0!</v>
      </c>
      <c r="K27" s="176" t="e">
        <f>H27/C27</f>
        <v>#DIV/0!</v>
      </c>
      <c r="L27" s="173"/>
      <c r="M27" s="173"/>
      <c r="N27" s="171" t="e">
        <f aca="true" t="shared" si="8" ref="N27:O29">L27/G27</f>
        <v>#DIV/0!</v>
      </c>
      <c r="O27" s="171" t="e">
        <f t="shared" si="8"/>
        <v>#DIV/0!</v>
      </c>
    </row>
    <row r="28" spans="1:15" ht="15">
      <c r="A28" s="166" t="s">
        <v>22</v>
      </c>
      <c r="B28" s="166"/>
      <c r="C28" s="167"/>
      <c r="D28" s="168"/>
      <c r="E28" s="169" t="s">
        <v>3</v>
      </c>
      <c r="F28" s="172"/>
      <c r="G28" s="173"/>
      <c r="H28" s="168"/>
      <c r="I28" s="170">
        <f>H28-F28</f>
        <v>0</v>
      </c>
      <c r="J28" s="175" t="e">
        <f>G28/C28</f>
        <v>#DIV/0!</v>
      </c>
      <c r="K28" s="176" t="e">
        <f>H28/C28</f>
        <v>#DIV/0!</v>
      </c>
      <c r="L28" s="173"/>
      <c r="M28" s="168"/>
      <c r="N28" s="171" t="e">
        <f t="shared" si="8"/>
        <v>#DIV/0!</v>
      </c>
      <c r="O28" s="171" t="e">
        <f t="shared" si="8"/>
        <v>#DIV/0!</v>
      </c>
    </row>
    <row r="29" spans="1:15" ht="15">
      <c r="A29" s="166" t="s">
        <v>23</v>
      </c>
      <c r="B29" s="166"/>
      <c r="C29" s="167"/>
      <c r="D29" s="168"/>
      <c r="E29" s="169" t="s">
        <v>3</v>
      </c>
      <c r="F29" s="172"/>
      <c r="G29" s="168"/>
      <c r="H29" s="168"/>
      <c r="I29" s="170">
        <f>H29-F29</f>
        <v>0</v>
      </c>
      <c r="J29" s="175" t="e">
        <f>G29/C29</f>
        <v>#DIV/0!</v>
      </c>
      <c r="K29" s="176" t="e">
        <f>H29/C29</f>
        <v>#DIV/0!</v>
      </c>
      <c r="L29" s="168"/>
      <c r="M29" s="168"/>
      <c r="N29" s="171" t="e">
        <f t="shared" si="8"/>
        <v>#DIV/0!</v>
      </c>
      <c r="O29" s="171" t="e">
        <f t="shared" si="8"/>
        <v>#DIV/0!</v>
      </c>
    </row>
    <row r="30" spans="1:15" ht="30">
      <c r="A30" s="166" t="s">
        <v>104</v>
      </c>
      <c r="B30" s="166"/>
      <c r="C30" s="188">
        <f>C28+C33</f>
        <v>36799.7</v>
      </c>
      <c r="D30" s="188">
        <f>D28+D33</f>
        <v>38810.4</v>
      </c>
      <c r="E30" s="188"/>
      <c r="F30" s="189">
        <f>F28+F33</f>
        <v>38810.4</v>
      </c>
      <c r="G30" s="188">
        <f>G28+G33</f>
        <v>0</v>
      </c>
      <c r="H30" s="188">
        <f>H28+H33</f>
        <v>38810.4</v>
      </c>
      <c r="I30" s="188">
        <f>I28+I33</f>
        <v>0</v>
      </c>
      <c r="J30" s="175"/>
      <c r="K30" s="176"/>
      <c r="L30" s="168"/>
      <c r="M30" s="168"/>
      <c r="N30" s="171"/>
      <c r="O30" s="171"/>
    </row>
    <row r="31" spans="1:15" ht="28.5">
      <c r="A31" s="160" t="s">
        <v>61</v>
      </c>
      <c r="B31" s="160"/>
      <c r="C31" s="161">
        <f>C33+C34+C35+C36+C37+C38</f>
        <v>89404.77983999999</v>
      </c>
      <c r="D31" s="161">
        <f>D33+D34+D35+D36+D37+D38</f>
        <v>82878</v>
      </c>
      <c r="E31" s="162" t="s">
        <v>3</v>
      </c>
      <c r="F31" s="161">
        <f>F33+F34+F35+F36+F37+F38</f>
        <v>86462.4</v>
      </c>
      <c r="G31" s="161">
        <f>G33+G34+G35+G36+G37+G38</f>
        <v>0</v>
      </c>
      <c r="H31" s="161">
        <f>H33+H34+H35+H36+H37+H38</f>
        <v>86782.4</v>
      </c>
      <c r="I31" s="163">
        <f aca="true" t="shared" si="9" ref="I31:I36">H31-F31</f>
        <v>320</v>
      </c>
      <c r="J31" s="164">
        <f>G31/C31</f>
        <v>0</v>
      </c>
      <c r="K31" s="164">
        <f>H31/C31</f>
        <v>0.9706684604034254</v>
      </c>
      <c r="L31" s="161">
        <f>L33+L34+L35+L36+L37+L38</f>
        <v>0</v>
      </c>
      <c r="M31" s="190">
        <f>M33+M35+M37</f>
        <v>92316.7</v>
      </c>
      <c r="N31" s="164" t="e">
        <f aca="true" t="shared" si="10" ref="N31:O39">L31/G31</f>
        <v>#DIV/0!</v>
      </c>
      <c r="O31" s="164">
        <f t="shared" si="10"/>
        <v>1.0637721473478494</v>
      </c>
    </row>
    <row r="32" spans="1:15" ht="15">
      <c r="A32" s="177" t="s">
        <v>4</v>
      </c>
      <c r="B32" s="177"/>
      <c r="C32" s="191"/>
      <c r="D32" s="192"/>
      <c r="E32" s="192"/>
      <c r="F32" s="192"/>
      <c r="G32" s="168"/>
      <c r="H32" s="168"/>
      <c r="I32" s="170">
        <f t="shared" si="9"/>
        <v>0</v>
      </c>
      <c r="J32" s="171"/>
      <c r="K32" s="171"/>
      <c r="L32" s="168"/>
      <c r="M32" s="168"/>
      <c r="N32" s="171" t="e">
        <f t="shared" si="10"/>
        <v>#DIV/0!</v>
      </c>
      <c r="O32" s="171" t="e">
        <f t="shared" si="10"/>
        <v>#DIV/0!</v>
      </c>
    </row>
    <row r="33" spans="1:15" ht="15">
      <c r="A33" s="166" t="s">
        <v>136</v>
      </c>
      <c r="B33" s="166"/>
      <c r="C33" s="167">
        <v>36799.7</v>
      </c>
      <c r="D33" s="168">
        <v>38810.4</v>
      </c>
      <c r="E33" s="169" t="s">
        <v>3</v>
      </c>
      <c r="F33" s="172">
        <v>38810.4</v>
      </c>
      <c r="G33" s="168"/>
      <c r="H33" s="168">
        <v>38810.4</v>
      </c>
      <c r="I33" s="170">
        <f t="shared" si="9"/>
        <v>0</v>
      </c>
      <c r="J33" s="175">
        <f aca="true" t="shared" si="11" ref="J33:J39">G33/C33</f>
        <v>0</v>
      </c>
      <c r="K33" s="176">
        <f aca="true" t="shared" si="12" ref="K33:K39">H33/C33</f>
        <v>1.0546390323834163</v>
      </c>
      <c r="L33" s="168"/>
      <c r="M33" s="168">
        <v>41783.1</v>
      </c>
      <c r="N33" s="171" t="e">
        <f t="shared" si="10"/>
        <v>#DIV/0!</v>
      </c>
      <c r="O33" s="171">
        <f t="shared" si="10"/>
        <v>1.076595448642632</v>
      </c>
    </row>
    <row r="34" spans="1:15" ht="30">
      <c r="A34" s="166" t="s">
        <v>137</v>
      </c>
      <c r="B34" s="166"/>
      <c r="C34" s="167"/>
      <c r="D34" s="168"/>
      <c r="E34" s="169" t="s">
        <v>3</v>
      </c>
      <c r="F34" s="172"/>
      <c r="G34" s="168"/>
      <c r="H34" s="168"/>
      <c r="I34" s="170">
        <f t="shared" si="9"/>
        <v>0</v>
      </c>
      <c r="J34" s="175" t="e">
        <f t="shared" si="11"/>
        <v>#DIV/0!</v>
      </c>
      <c r="K34" s="176" t="e">
        <f t="shared" si="12"/>
        <v>#DIV/0!</v>
      </c>
      <c r="L34" s="168"/>
      <c r="M34" s="168"/>
      <c r="N34" s="171" t="e">
        <f t="shared" si="10"/>
        <v>#DIV/0!</v>
      </c>
      <c r="O34" s="171" t="e">
        <f t="shared" si="10"/>
        <v>#DIV/0!</v>
      </c>
    </row>
    <row r="35" spans="1:15" ht="15">
      <c r="A35" s="166" t="s">
        <v>62</v>
      </c>
      <c r="B35" s="166"/>
      <c r="C35" s="167">
        <v>45326.71632</v>
      </c>
      <c r="D35" s="168">
        <v>44057.6</v>
      </c>
      <c r="E35" s="169" t="s">
        <v>3</v>
      </c>
      <c r="F35" s="172">
        <f>44057.6+714.4</f>
        <v>44772</v>
      </c>
      <c r="G35" s="168"/>
      <c r="H35" s="168">
        <f>44057.6+714.4</f>
        <v>44772</v>
      </c>
      <c r="I35" s="170">
        <f t="shared" si="9"/>
        <v>0</v>
      </c>
      <c r="J35" s="175">
        <f t="shared" si="11"/>
        <v>0</v>
      </c>
      <c r="K35" s="176">
        <f t="shared" si="12"/>
        <v>0.9877618242609109</v>
      </c>
      <c r="L35" s="172"/>
      <c r="M35" s="172">
        <v>50508.6</v>
      </c>
      <c r="N35" s="171" t="e">
        <f t="shared" si="10"/>
        <v>#DIV/0!</v>
      </c>
      <c r="O35" s="171">
        <f t="shared" si="10"/>
        <v>1.1281291878852855</v>
      </c>
    </row>
    <row r="36" spans="1:15" ht="15">
      <c r="A36" s="166" t="s">
        <v>63</v>
      </c>
      <c r="B36" s="166"/>
      <c r="C36" s="167"/>
      <c r="D36" s="168"/>
      <c r="E36" s="169" t="s">
        <v>3</v>
      </c>
      <c r="F36" s="172"/>
      <c r="G36" s="168"/>
      <c r="H36" s="168"/>
      <c r="I36" s="170">
        <f t="shared" si="9"/>
        <v>0</v>
      </c>
      <c r="J36" s="175" t="e">
        <f t="shared" si="11"/>
        <v>#DIV/0!</v>
      </c>
      <c r="K36" s="176" t="e">
        <f t="shared" si="12"/>
        <v>#DIV/0!</v>
      </c>
      <c r="L36" s="168"/>
      <c r="M36" s="168"/>
      <c r="N36" s="171" t="e">
        <f t="shared" si="10"/>
        <v>#DIV/0!</v>
      </c>
      <c r="O36" s="171" t="e">
        <f t="shared" si="10"/>
        <v>#DIV/0!</v>
      </c>
    </row>
    <row r="37" spans="1:15" ht="30">
      <c r="A37" s="166" t="s">
        <v>134</v>
      </c>
      <c r="B37" s="166"/>
      <c r="C37" s="167">
        <v>5359.2435</v>
      </c>
      <c r="D37" s="168">
        <v>10</v>
      </c>
      <c r="E37" s="169"/>
      <c r="F37" s="172">
        <v>2880</v>
      </c>
      <c r="G37" s="168"/>
      <c r="H37" s="168">
        <v>3200</v>
      </c>
      <c r="I37" s="170"/>
      <c r="J37" s="175">
        <f>G37/C37</f>
        <v>0</v>
      </c>
      <c r="K37" s="176">
        <f t="shared" si="12"/>
        <v>0.5970991987955017</v>
      </c>
      <c r="L37" s="168"/>
      <c r="M37" s="168">
        <v>25</v>
      </c>
      <c r="N37" s="171" t="e">
        <f t="shared" si="10"/>
        <v>#DIV/0!</v>
      </c>
      <c r="O37" s="171">
        <f t="shared" si="10"/>
        <v>0.0078125</v>
      </c>
    </row>
    <row r="38" spans="1:15" ht="30">
      <c r="A38" s="166" t="s">
        <v>135</v>
      </c>
      <c r="B38" s="166"/>
      <c r="C38" s="167">
        <v>1919.12002</v>
      </c>
      <c r="D38" s="168"/>
      <c r="E38" s="169"/>
      <c r="F38" s="168"/>
      <c r="G38" s="168"/>
      <c r="H38" s="168"/>
      <c r="I38" s="170"/>
      <c r="J38" s="175">
        <f t="shared" si="11"/>
        <v>0</v>
      </c>
      <c r="K38" s="176">
        <f t="shared" si="12"/>
        <v>0</v>
      </c>
      <c r="L38" s="168"/>
      <c r="M38" s="168" t="s">
        <v>250</v>
      </c>
      <c r="N38" s="171" t="e">
        <f t="shared" si="10"/>
        <v>#DIV/0!</v>
      </c>
      <c r="O38" s="171" t="e">
        <f t="shared" si="10"/>
        <v>#VALUE!</v>
      </c>
    </row>
    <row r="39" spans="1:15" ht="42.75">
      <c r="A39" s="154" t="s">
        <v>126</v>
      </c>
      <c r="B39" s="154"/>
      <c r="C39" s="155">
        <f aca="true" t="shared" si="13" ref="C39:H39">C41+C64+C82+C100+C101</f>
        <v>117271.50768000002</v>
      </c>
      <c r="D39" s="155">
        <f t="shared" si="13"/>
        <v>111112.66200000001</v>
      </c>
      <c r="E39" s="155">
        <f t="shared" si="13"/>
        <v>0</v>
      </c>
      <c r="F39" s="155">
        <f t="shared" si="13"/>
        <v>131939.0874</v>
      </c>
      <c r="G39" s="155">
        <f t="shared" si="13"/>
        <v>0</v>
      </c>
      <c r="H39" s="155">
        <f t="shared" si="13"/>
        <v>131595.2816</v>
      </c>
      <c r="I39" s="193">
        <f>H39-F39</f>
        <v>-343.8058000000019</v>
      </c>
      <c r="J39" s="157">
        <f t="shared" si="11"/>
        <v>0</v>
      </c>
      <c r="K39" s="157">
        <f t="shared" si="12"/>
        <v>1.1221419780760846</v>
      </c>
      <c r="L39" s="155">
        <f>L41+L64+L82+L100</f>
        <v>0</v>
      </c>
      <c r="M39" s="155">
        <f>M41+M64+M82+M100</f>
        <v>253642.88499999998</v>
      </c>
      <c r="N39" s="159" t="e">
        <f t="shared" si="10"/>
        <v>#DIV/0!</v>
      </c>
      <c r="O39" s="159">
        <f>M39/H39</f>
        <v>1.9274466524641716</v>
      </c>
    </row>
    <row r="40" spans="1:15" ht="15">
      <c r="A40" s="194" t="s">
        <v>4</v>
      </c>
      <c r="B40" s="194"/>
      <c r="C40" s="195"/>
      <c r="D40" s="196"/>
      <c r="E40" s="196"/>
      <c r="F40" s="196"/>
      <c r="G40" s="196"/>
      <c r="H40" s="196"/>
      <c r="I40" s="193"/>
      <c r="J40" s="197"/>
      <c r="K40" s="197"/>
      <c r="L40" s="198"/>
      <c r="M40" s="198"/>
      <c r="N40" s="159"/>
      <c r="O40" s="159"/>
    </row>
    <row r="41" spans="1:15" ht="28.5">
      <c r="A41" s="160" t="s">
        <v>64</v>
      </c>
      <c r="B41" s="199"/>
      <c r="C41" s="200">
        <f aca="true" t="shared" si="14" ref="C41:H41">C42+C43+C44+C45+C61</f>
        <v>89060.38643000001</v>
      </c>
      <c r="D41" s="200">
        <f>D42+D43+D44+D45+D61</f>
        <v>90812.815</v>
      </c>
      <c r="E41" s="200">
        <f t="shared" si="14"/>
        <v>0</v>
      </c>
      <c r="F41" s="200">
        <f t="shared" si="14"/>
        <v>98413.76844</v>
      </c>
      <c r="G41" s="200">
        <f t="shared" si="14"/>
        <v>0</v>
      </c>
      <c r="H41" s="200">
        <f t="shared" si="14"/>
        <v>98477.40982</v>
      </c>
      <c r="I41" s="161">
        <f>I42+I43+I46+I47+I48+I49+I66+I61+I50+I44</f>
        <v>63.64138000000003</v>
      </c>
      <c r="J41" s="164">
        <f aca="true" t="shared" si="15" ref="J41:J51">G41/C41</f>
        <v>0</v>
      </c>
      <c r="K41" s="164">
        <f aca="true" t="shared" si="16" ref="K41:K51">H41/C41</f>
        <v>1.1057375087565067</v>
      </c>
      <c r="L41" s="161">
        <f>L42+L43+L46+L47+L48+L49+L66+L61+L50+L44</f>
        <v>0</v>
      </c>
      <c r="M41" s="161">
        <f>M42+M43+M44+M45+M61</f>
        <v>114272.49000000002</v>
      </c>
      <c r="N41" s="164" t="e">
        <f aca="true" t="shared" si="17" ref="N41:O51">L41/G41</f>
        <v>#DIV/0!</v>
      </c>
      <c r="O41" s="164">
        <f t="shared" si="17"/>
        <v>1.1603929287830654</v>
      </c>
    </row>
    <row r="42" spans="1:15" ht="18.75">
      <c r="A42" s="201" t="s">
        <v>108</v>
      </c>
      <c r="B42" s="202" t="s">
        <v>208</v>
      </c>
      <c r="C42" s="203">
        <v>59211.257990000006</v>
      </c>
      <c r="D42" s="136">
        <v>65490.63</v>
      </c>
      <c r="E42" s="204"/>
      <c r="F42" s="172">
        <v>67396.82585</v>
      </c>
      <c r="G42" s="168"/>
      <c r="H42" s="168">
        <f>F42</f>
        <v>67396.82585</v>
      </c>
      <c r="I42" s="170">
        <f aca="true" t="shared" si="18" ref="I42:I72">H42-F42</f>
        <v>0</v>
      </c>
      <c r="J42" s="205">
        <f t="shared" si="15"/>
        <v>0</v>
      </c>
      <c r="K42" s="205">
        <f t="shared" si="16"/>
        <v>1.1382434377831057</v>
      </c>
      <c r="L42" s="168"/>
      <c r="M42" s="168">
        <v>75275.32</v>
      </c>
      <c r="N42" s="171" t="e">
        <f t="shared" si="17"/>
        <v>#DIV/0!</v>
      </c>
      <c r="O42" s="171">
        <f t="shared" si="17"/>
        <v>1.1168971097768696</v>
      </c>
    </row>
    <row r="43" spans="1:15" ht="18.75">
      <c r="A43" s="201" t="s">
        <v>109</v>
      </c>
      <c r="B43" s="206" t="s">
        <v>209</v>
      </c>
      <c r="C43" s="137">
        <f>1378.96421+189.757</f>
        <v>1568.7212100000002</v>
      </c>
      <c r="D43" s="207">
        <v>2052.88</v>
      </c>
      <c r="E43" s="204"/>
      <c r="F43" s="172">
        <v>1930.72851</v>
      </c>
      <c r="G43" s="208"/>
      <c r="H43" s="168">
        <f>F43</f>
        <v>1930.72851</v>
      </c>
      <c r="I43" s="170">
        <f t="shared" si="18"/>
        <v>0</v>
      </c>
      <c r="J43" s="205">
        <f t="shared" si="15"/>
        <v>0</v>
      </c>
      <c r="K43" s="205">
        <f t="shared" si="16"/>
        <v>1.2307658605572112</v>
      </c>
      <c r="L43" s="192"/>
      <c r="M43" s="192">
        <v>2995.41</v>
      </c>
      <c r="N43" s="209" t="e">
        <f t="shared" si="17"/>
        <v>#DIV/0!</v>
      </c>
      <c r="O43" s="209">
        <f t="shared" si="17"/>
        <v>1.5514402902767515</v>
      </c>
    </row>
    <row r="44" spans="1:15" ht="15">
      <c r="A44" s="210" t="s">
        <v>70</v>
      </c>
      <c r="B44" s="206"/>
      <c r="C44" s="211"/>
      <c r="D44" s="212"/>
      <c r="E44" s="204"/>
      <c r="F44" s="172"/>
      <c r="G44" s="208"/>
      <c r="H44" s="168"/>
      <c r="I44" s="170">
        <f t="shared" si="18"/>
        <v>0</v>
      </c>
      <c r="J44" s="205" t="e">
        <f t="shared" si="15"/>
        <v>#DIV/0!</v>
      </c>
      <c r="K44" s="205" t="e">
        <f t="shared" si="16"/>
        <v>#DIV/0!</v>
      </c>
      <c r="L44" s="192"/>
      <c r="M44" s="192"/>
      <c r="N44" s="209" t="e">
        <f t="shared" si="17"/>
        <v>#DIV/0!</v>
      </c>
      <c r="O44" s="209" t="e">
        <f t="shared" si="17"/>
        <v>#DIV/0!</v>
      </c>
    </row>
    <row r="45" spans="1:15" ht="37.5">
      <c r="A45" s="201" t="s">
        <v>115</v>
      </c>
      <c r="B45" s="206" t="s">
        <v>210</v>
      </c>
      <c r="C45" s="213">
        <f aca="true" t="shared" si="19" ref="C45:H45">C46+C47+C48+C49+C50+C60</f>
        <v>26406.49665</v>
      </c>
      <c r="D45" s="214">
        <f t="shared" si="19"/>
        <v>22204.954999999998</v>
      </c>
      <c r="E45" s="215">
        <f t="shared" si="19"/>
        <v>0</v>
      </c>
      <c r="F45" s="216">
        <f t="shared" si="19"/>
        <v>27606.540920000003</v>
      </c>
      <c r="G45" s="217">
        <f t="shared" si="19"/>
        <v>0</v>
      </c>
      <c r="H45" s="217">
        <f t="shared" si="19"/>
        <v>27670.1823</v>
      </c>
      <c r="I45" s="170">
        <f t="shared" si="18"/>
        <v>63.6413799999973</v>
      </c>
      <c r="J45" s="205">
        <f t="shared" si="15"/>
        <v>0</v>
      </c>
      <c r="K45" s="205">
        <f t="shared" si="16"/>
        <v>1.0478551042476132</v>
      </c>
      <c r="L45" s="217">
        <f>L46+L47+L48+L49+L50+L60</f>
        <v>0</v>
      </c>
      <c r="M45" s="217">
        <f>M46+M47+M48+M49+M50+M60</f>
        <v>32458.190000000002</v>
      </c>
      <c r="N45" s="209" t="e">
        <f t="shared" si="17"/>
        <v>#DIV/0!</v>
      </c>
      <c r="O45" s="209">
        <f t="shared" si="17"/>
        <v>1.1730385310833316</v>
      </c>
    </row>
    <row r="46" spans="1:15" ht="15">
      <c r="A46" s="218" t="s">
        <v>74</v>
      </c>
      <c r="B46" s="219">
        <v>221</v>
      </c>
      <c r="C46" s="137">
        <f>1249.35865+46.59003</f>
        <v>1295.94868</v>
      </c>
      <c r="D46" s="207">
        <v>1563.2</v>
      </c>
      <c r="E46" s="220"/>
      <c r="F46" s="221">
        <v>1704.0639</v>
      </c>
      <c r="G46" s="208"/>
      <c r="H46" s="192">
        <f>F46</f>
        <v>1704.0639</v>
      </c>
      <c r="I46" s="170">
        <f t="shared" si="18"/>
        <v>0</v>
      </c>
      <c r="J46" s="205">
        <f t="shared" si="15"/>
        <v>0</v>
      </c>
      <c r="K46" s="205">
        <f t="shared" si="16"/>
        <v>1.3149161894281185</v>
      </c>
      <c r="L46" s="192"/>
      <c r="M46" s="192">
        <v>1784.25</v>
      </c>
      <c r="N46" s="209" t="e">
        <f t="shared" si="17"/>
        <v>#DIV/0!</v>
      </c>
      <c r="O46" s="209">
        <f t="shared" si="17"/>
        <v>1.0470558058298165</v>
      </c>
    </row>
    <row r="47" spans="1:15" ht="15">
      <c r="A47" s="218" t="s">
        <v>73</v>
      </c>
      <c r="B47" s="219">
        <v>222</v>
      </c>
      <c r="C47" s="137">
        <f>2853.69391+5</f>
        <v>2858.69391</v>
      </c>
      <c r="D47" s="207">
        <v>676</v>
      </c>
      <c r="E47" s="220"/>
      <c r="F47" s="221">
        <v>971.20862</v>
      </c>
      <c r="G47" s="208"/>
      <c r="H47" s="192">
        <f>905+29.85</f>
        <v>934.85</v>
      </c>
      <c r="I47" s="170">
        <f t="shared" si="18"/>
        <v>-36.35861999999997</v>
      </c>
      <c r="J47" s="205">
        <f t="shared" si="15"/>
        <v>0</v>
      </c>
      <c r="K47" s="205">
        <f t="shared" si="16"/>
        <v>0.327019971158787</v>
      </c>
      <c r="L47" s="192"/>
      <c r="M47" s="192">
        <v>1087.2</v>
      </c>
      <c r="N47" s="209" t="e">
        <f t="shared" si="17"/>
        <v>#DIV/0!</v>
      </c>
      <c r="O47" s="209">
        <f t="shared" si="17"/>
        <v>1.162967320960582</v>
      </c>
    </row>
    <row r="48" spans="1:15" ht="15">
      <c r="A48" s="218" t="s">
        <v>71</v>
      </c>
      <c r="B48" s="219">
        <v>223</v>
      </c>
      <c r="C48" s="137">
        <f>6835.92653+1008.59145</f>
        <v>7844.51798</v>
      </c>
      <c r="D48" s="207">
        <v>9587.35</v>
      </c>
      <c r="E48" s="220"/>
      <c r="F48" s="221">
        <v>9929.39765</v>
      </c>
      <c r="G48" s="208"/>
      <c r="H48" s="192">
        <f>F48</f>
        <v>9929.39765</v>
      </c>
      <c r="I48" s="170">
        <f t="shared" si="18"/>
        <v>0</v>
      </c>
      <c r="J48" s="205">
        <f t="shared" si="15"/>
        <v>0</v>
      </c>
      <c r="K48" s="205">
        <f t="shared" si="16"/>
        <v>1.2657753701776844</v>
      </c>
      <c r="L48" s="192"/>
      <c r="M48" s="192">
        <v>10312.17</v>
      </c>
      <c r="N48" s="209" t="e">
        <f t="shared" si="17"/>
        <v>#DIV/0!</v>
      </c>
      <c r="O48" s="209">
        <f t="shared" si="17"/>
        <v>1.0385494028431825</v>
      </c>
    </row>
    <row r="49" spans="1:15" ht="15">
      <c r="A49" s="218" t="s">
        <v>72</v>
      </c>
      <c r="B49" s="219">
        <v>224</v>
      </c>
      <c r="C49" s="137">
        <v>0</v>
      </c>
      <c r="D49" s="207">
        <v>0</v>
      </c>
      <c r="E49" s="220"/>
      <c r="F49" s="221">
        <v>0</v>
      </c>
      <c r="G49" s="192"/>
      <c r="H49" s="192">
        <v>0</v>
      </c>
      <c r="I49" s="170">
        <f t="shared" si="18"/>
        <v>0</v>
      </c>
      <c r="J49" s="205" t="e">
        <f t="shared" si="15"/>
        <v>#DIV/0!</v>
      </c>
      <c r="K49" s="205" t="e">
        <f t="shared" si="16"/>
        <v>#DIV/0!</v>
      </c>
      <c r="L49" s="192"/>
      <c r="M49" s="192">
        <v>0</v>
      </c>
      <c r="N49" s="209" t="e">
        <f t="shared" si="17"/>
        <v>#DIV/0!</v>
      </c>
      <c r="O49" s="209" t="e">
        <f t="shared" si="17"/>
        <v>#DIV/0!</v>
      </c>
    </row>
    <row r="50" spans="1:15" ht="15">
      <c r="A50" s="222" t="s">
        <v>75</v>
      </c>
      <c r="B50" s="219">
        <v>340</v>
      </c>
      <c r="C50" s="137">
        <f>8465.23511+2485.51084+119.11</f>
        <v>11069.855950000001</v>
      </c>
      <c r="D50" s="223">
        <v>6901.019</v>
      </c>
      <c r="E50" s="220"/>
      <c r="F50" s="221">
        <f>F52+F53+F54+F55+F56+F57+F58+F59</f>
        <v>9145.857790000002</v>
      </c>
      <c r="G50" s="208"/>
      <c r="H50" s="192">
        <f>H52+H53+H54+H55+H56+H57+H58+H59</f>
        <v>9245.857790000002</v>
      </c>
      <c r="I50" s="170">
        <f t="shared" si="18"/>
        <v>100</v>
      </c>
      <c r="J50" s="205">
        <f t="shared" si="15"/>
        <v>0</v>
      </c>
      <c r="K50" s="205">
        <f t="shared" si="16"/>
        <v>0.8352283744035532</v>
      </c>
      <c r="L50" s="192"/>
      <c r="M50" s="192">
        <v>10654.53</v>
      </c>
      <c r="N50" s="209" t="e">
        <f t="shared" si="17"/>
        <v>#DIV/0!</v>
      </c>
      <c r="O50" s="209">
        <f t="shared" si="17"/>
        <v>1.152357114071511</v>
      </c>
    </row>
    <row r="51" spans="1:15" ht="15">
      <c r="A51" s="218" t="s">
        <v>140</v>
      </c>
      <c r="B51" s="224"/>
      <c r="C51" s="225"/>
      <c r="D51" s="226"/>
      <c r="E51" s="220"/>
      <c r="F51" s="221"/>
      <c r="G51" s="192"/>
      <c r="H51" s="192"/>
      <c r="I51" s="170">
        <f t="shared" si="18"/>
        <v>0</v>
      </c>
      <c r="J51" s="205" t="e">
        <f t="shared" si="15"/>
        <v>#DIV/0!</v>
      </c>
      <c r="K51" s="205" t="e">
        <f t="shared" si="16"/>
        <v>#DIV/0!</v>
      </c>
      <c r="L51" s="192"/>
      <c r="M51" s="192"/>
      <c r="N51" s="209" t="e">
        <f t="shared" si="17"/>
        <v>#DIV/0!</v>
      </c>
      <c r="O51" s="209" t="e">
        <f t="shared" si="17"/>
        <v>#DIV/0!</v>
      </c>
    </row>
    <row r="52" spans="1:15" ht="30">
      <c r="A52" s="227" t="s">
        <v>211</v>
      </c>
      <c r="B52" s="224"/>
      <c r="C52" s="225">
        <f>5.755+13.49</f>
        <v>19.245</v>
      </c>
      <c r="D52" s="228">
        <v>0</v>
      </c>
      <c r="E52" s="220"/>
      <c r="F52" s="221">
        <v>1.39</v>
      </c>
      <c r="G52" s="192"/>
      <c r="H52" s="192">
        <f>F52</f>
        <v>1.39</v>
      </c>
      <c r="I52" s="170">
        <f t="shared" si="18"/>
        <v>0</v>
      </c>
      <c r="J52" s="205"/>
      <c r="K52" s="205"/>
      <c r="L52" s="192"/>
      <c r="M52" s="192">
        <v>0</v>
      </c>
      <c r="N52" s="209"/>
      <c r="O52" s="209"/>
    </row>
    <row r="53" spans="1:15" ht="15">
      <c r="A53" s="227" t="s">
        <v>212</v>
      </c>
      <c r="B53" s="224"/>
      <c r="C53" s="225">
        <f>1818.1317</f>
        <v>1818.1317</v>
      </c>
      <c r="D53" s="226">
        <v>1667.88</v>
      </c>
      <c r="E53" s="220"/>
      <c r="F53" s="221">
        <v>1774.04168</v>
      </c>
      <c r="G53" s="192"/>
      <c r="H53" s="192">
        <f>F53</f>
        <v>1774.04168</v>
      </c>
      <c r="I53" s="170">
        <f t="shared" si="18"/>
        <v>0</v>
      </c>
      <c r="J53" s="205"/>
      <c r="K53" s="205"/>
      <c r="L53" s="192"/>
      <c r="M53" s="192">
        <v>1919.07</v>
      </c>
      <c r="N53" s="209"/>
      <c r="O53" s="209"/>
    </row>
    <row r="54" spans="1:15" ht="30">
      <c r="A54" s="229" t="s">
        <v>213</v>
      </c>
      <c r="B54" s="224"/>
      <c r="C54" s="225">
        <f>850.56943+2101.20422</f>
        <v>2951.77365</v>
      </c>
      <c r="D54" s="226">
        <v>2849.505</v>
      </c>
      <c r="E54" s="220"/>
      <c r="F54" s="221">
        <v>3361.46122</v>
      </c>
      <c r="G54" s="192"/>
      <c r="H54" s="192">
        <f>F54+100</f>
        <v>3461.46122</v>
      </c>
      <c r="I54" s="170">
        <f t="shared" si="18"/>
        <v>100</v>
      </c>
      <c r="J54" s="205"/>
      <c r="K54" s="205"/>
      <c r="L54" s="192"/>
      <c r="M54" s="192">
        <v>3979.8</v>
      </c>
      <c r="N54" s="209"/>
      <c r="O54" s="209"/>
    </row>
    <row r="55" spans="1:15" ht="15">
      <c r="A55" s="229" t="s">
        <v>214</v>
      </c>
      <c r="B55" s="224"/>
      <c r="C55" s="225">
        <f>436.54781+27.844</f>
        <v>464.39181</v>
      </c>
      <c r="D55" s="226">
        <v>198.11</v>
      </c>
      <c r="E55" s="220"/>
      <c r="F55" s="221">
        <v>616.70974</v>
      </c>
      <c r="G55" s="192"/>
      <c r="H55" s="192">
        <f aca="true" t="shared" si="20" ref="H55:H61">F55</f>
        <v>616.70974</v>
      </c>
      <c r="I55" s="170">
        <f t="shared" si="18"/>
        <v>0</v>
      </c>
      <c r="J55" s="205"/>
      <c r="K55" s="205"/>
      <c r="L55" s="192"/>
      <c r="M55" s="192">
        <v>796.18</v>
      </c>
      <c r="N55" s="209"/>
      <c r="O55" s="209"/>
    </row>
    <row r="56" spans="1:15" ht="15">
      <c r="A56" s="229" t="s">
        <v>215</v>
      </c>
      <c r="B56" s="224"/>
      <c r="C56" s="225">
        <f>91.73+3.648</f>
        <v>95.378</v>
      </c>
      <c r="D56" s="226">
        <v>17.569</v>
      </c>
      <c r="E56" s="220"/>
      <c r="F56" s="221">
        <v>506.022</v>
      </c>
      <c r="G56" s="192"/>
      <c r="H56" s="192">
        <f t="shared" si="20"/>
        <v>506.022</v>
      </c>
      <c r="I56" s="170">
        <f t="shared" si="18"/>
        <v>0</v>
      </c>
      <c r="J56" s="205"/>
      <c r="K56" s="205"/>
      <c r="L56" s="192"/>
      <c r="M56" s="192">
        <v>361.87</v>
      </c>
      <c r="N56" s="209"/>
      <c r="O56" s="209"/>
    </row>
    <row r="57" spans="1:15" ht="30">
      <c r="A57" s="229" t="s">
        <v>216</v>
      </c>
      <c r="B57" s="224"/>
      <c r="C57" s="225">
        <f>4133.54781+469.99062-11.5</f>
        <v>4592.03843</v>
      </c>
      <c r="D57" s="226">
        <v>1601.955</v>
      </c>
      <c r="E57" s="220"/>
      <c r="F57" s="221">
        <v>2036.32556</v>
      </c>
      <c r="G57" s="192"/>
      <c r="H57" s="192">
        <f t="shared" si="20"/>
        <v>2036.32556</v>
      </c>
      <c r="I57" s="170">
        <f t="shared" si="18"/>
        <v>0</v>
      </c>
      <c r="J57" s="205"/>
      <c r="K57" s="205"/>
      <c r="L57" s="192"/>
      <c r="M57" s="192">
        <v>2994.72</v>
      </c>
      <c r="N57" s="209"/>
      <c r="O57" s="209"/>
    </row>
    <row r="58" spans="1:15" ht="30">
      <c r="A58" s="229" t="s">
        <v>243</v>
      </c>
      <c r="B58" s="224"/>
      <c r="C58" s="225">
        <v>22.378</v>
      </c>
      <c r="D58" s="226">
        <v>0</v>
      </c>
      <c r="E58" s="220"/>
      <c r="F58" s="221">
        <v>0</v>
      </c>
      <c r="G58" s="192"/>
      <c r="H58" s="192">
        <f t="shared" si="20"/>
        <v>0</v>
      </c>
      <c r="I58" s="170">
        <f t="shared" si="18"/>
        <v>0</v>
      </c>
      <c r="J58" s="205"/>
      <c r="K58" s="205"/>
      <c r="L58" s="192"/>
      <c r="M58" s="192">
        <v>0</v>
      </c>
      <c r="N58" s="209"/>
      <c r="O58" s="209"/>
    </row>
    <row r="59" spans="1:15" ht="30">
      <c r="A59" s="229" t="s">
        <v>217</v>
      </c>
      <c r="B59" s="224"/>
      <c r="C59" s="225">
        <v>1106.53763</v>
      </c>
      <c r="D59" s="226">
        <f>682-116</f>
        <v>566</v>
      </c>
      <c r="E59" s="220"/>
      <c r="F59" s="221">
        <v>849.90759</v>
      </c>
      <c r="G59" s="192"/>
      <c r="H59" s="192">
        <f t="shared" si="20"/>
        <v>849.90759</v>
      </c>
      <c r="I59" s="170">
        <f t="shared" si="18"/>
        <v>0</v>
      </c>
      <c r="J59" s="205"/>
      <c r="K59" s="205"/>
      <c r="L59" s="192"/>
      <c r="M59" s="192">
        <v>602.89</v>
      </c>
      <c r="N59" s="209"/>
      <c r="O59" s="209"/>
    </row>
    <row r="60" spans="1:15" ht="30">
      <c r="A60" s="222" t="s">
        <v>144</v>
      </c>
      <c r="B60" s="219">
        <v>225</v>
      </c>
      <c r="C60" s="137">
        <f>6345.58308-3296.46921+288.36626</f>
        <v>3337.48013</v>
      </c>
      <c r="D60" s="207">
        <v>3477.386</v>
      </c>
      <c r="E60" s="220"/>
      <c r="F60" s="221">
        <v>5856.01296</v>
      </c>
      <c r="G60" s="192"/>
      <c r="H60" s="221">
        <f t="shared" si="20"/>
        <v>5856.01296</v>
      </c>
      <c r="I60" s="170">
        <f t="shared" si="18"/>
        <v>0</v>
      </c>
      <c r="J60" s="205">
        <f aca="true" t="shared" si="21" ref="J60:J72">G60/C60</f>
        <v>0</v>
      </c>
      <c r="K60" s="205">
        <f aca="true" t="shared" si="22" ref="K60:K72">H60/C60</f>
        <v>1.7546210709575072</v>
      </c>
      <c r="L60" s="192"/>
      <c r="M60" s="192">
        <v>8620.04</v>
      </c>
      <c r="N60" s="209" t="e">
        <f aca="true" t="shared" si="23" ref="N60:O72">L60/G60</f>
        <v>#DIV/0!</v>
      </c>
      <c r="O60" s="209">
        <f t="shared" si="23"/>
        <v>1.471998108419487</v>
      </c>
    </row>
    <row r="61" spans="1:15" ht="18.75">
      <c r="A61" s="230" t="s">
        <v>117</v>
      </c>
      <c r="B61" s="231">
        <v>850</v>
      </c>
      <c r="C61" s="136">
        <f>1856.76831+17.14227</f>
        <v>1873.91058</v>
      </c>
      <c r="D61" s="223">
        <v>1064.35</v>
      </c>
      <c r="E61" s="232"/>
      <c r="F61" s="172">
        <v>1479.67316</v>
      </c>
      <c r="G61" s="233"/>
      <c r="H61" s="172">
        <f t="shared" si="20"/>
        <v>1479.67316</v>
      </c>
      <c r="I61" s="234">
        <f t="shared" si="18"/>
        <v>0</v>
      </c>
      <c r="J61" s="235">
        <f t="shared" si="21"/>
        <v>0</v>
      </c>
      <c r="K61" s="235">
        <f t="shared" si="22"/>
        <v>0.7896178055625258</v>
      </c>
      <c r="L61" s="221"/>
      <c r="M61" s="221">
        <f>115801.57-102000-10258</f>
        <v>3543.570000000007</v>
      </c>
      <c r="N61" s="236" t="e">
        <f t="shared" si="23"/>
        <v>#DIV/0!</v>
      </c>
      <c r="O61" s="236">
        <f t="shared" si="23"/>
        <v>2.394832923778929</v>
      </c>
    </row>
    <row r="62" spans="1:15" ht="30">
      <c r="A62" s="201" t="s">
        <v>116</v>
      </c>
      <c r="B62" s="237"/>
      <c r="C62" s="238">
        <f>C41/C7</f>
        <v>0.7539356215117519</v>
      </c>
      <c r="D62" s="239">
        <f>D41/D7</f>
        <v>0.8173039417830515</v>
      </c>
      <c r="E62" s="240"/>
      <c r="F62" s="241">
        <f>F41/F7</f>
        <v>0.8580321800750603</v>
      </c>
      <c r="G62" s="171" t="e">
        <f>G41/G7</f>
        <v>#DIV/0!</v>
      </c>
      <c r="H62" s="171">
        <f>H41/H7</f>
        <v>0.8368407396139963</v>
      </c>
      <c r="I62" s="242">
        <f t="shared" si="18"/>
        <v>-0.021191440461064026</v>
      </c>
      <c r="J62" s="171" t="e">
        <f t="shared" si="21"/>
        <v>#DIV/0!</v>
      </c>
      <c r="K62" s="171">
        <f t="shared" si="22"/>
        <v>1.1099631264749203</v>
      </c>
      <c r="L62" s="171" t="e">
        <f>L41/L7</f>
        <v>#DIV/0!</v>
      </c>
      <c r="M62" s="171">
        <f>M41/M7</f>
        <v>0.9255826540178259</v>
      </c>
      <c r="N62" s="171" t="e">
        <f t="shared" si="23"/>
        <v>#DIV/0!</v>
      </c>
      <c r="O62" s="171">
        <f t="shared" si="23"/>
        <v>1.1060439701403195</v>
      </c>
    </row>
    <row r="63" spans="1:15" ht="15">
      <c r="A63" s="201" t="s">
        <v>65</v>
      </c>
      <c r="B63" s="237"/>
      <c r="C63" s="238">
        <f>C42/C7</f>
        <v>0.5012495272325234</v>
      </c>
      <c r="D63" s="239">
        <f>D42/D7</f>
        <v>0.589407453660096</v>
      </c>
      <c r="E63" s="240"/>
      <c r="F63" s="241">
        <f>F42/F7</f>
        <v>0.5876072660450058</v>
      </c>
      <c r="G63" s="171" t="e">
        <f>G42/G7</f>
        <v>#DIV/0!</v>
      </c>
      <c r="H63" s="171">
        <f>H42/H7</f>
        <v>0.5727243404862098</v>
      </c>
      <c r="I63" s="242">
        <f t="shared" si="18"/>
        <v>-0.014882925558796</v>
      </c>
      <c r="J63" s="171" t="e">
        <f t="shared" si="21"/>
        <v>#DIV/0!</v>
      </c>
      <c r="K63" s="171">
        <f t="shared" si="22"/>
        <v>1.142593278138954</v>
      </c>
      <c r="L63" s="171" t="e">
        <f>L42/L7</f>
        <v>#DIV/0!</v>
      </c>
      <c r="M63" s="171">
        <f>M42/M7</f>
        <v>0.6097139431165027</v>
      </c>
      <c r="N63" s="171" t="e">
        <f t="shared" si="23"/>
        <v>#DIV/0!</v>
      </c>
      <c r="O63" s="171">
        <f t="shared" si="23"/>
        <v>1.0645853511287662</v>
      </c>
    </row>
    <row r="64" spans="1:15" ht="28.5">
      <c r="A64" s="160" t="s">
        <v>66</v>
      </c>
      <c r="B64" s="243"/>
      <c r="C64" s="244">
        <f aca="true" t="shared" si="24" ref="C64:I64">C65+C66+C67+C70+C71+C72+C68+C69</f>
        <v>18814.00411</v>
      </c>
      <c r="D64" s="244">
        <f t="shared" si="24"/>
        <v>9864.657</v>
      </c>
      <c r="E64" s="244">
        <f t="shared" si="24"/>
        <v>0</v>
      </c>
      <c r="F64" s="244">
        <f t="shared" si="24"/>
        <v>18586.23101</v>
      </c>
      <c r="G64" s="244">
        <f t="shared" si="24"/>
        <v>0</v>
      </c>
      <c r="H64" s="244">
        <f t="shared" si="24"/>
        <v>18178.78383</v>
      </c>
      <c r="I64" s="244">
        <f t="shared" si="24"/>
        <v>-407.44718000000057</v>
      </c>
      <c r="J64" s="164">
        <f t="shared" si="21"/>
        <v>0</v>
      </c>
      <c r="K64" s="164">
        <f t="shared" si="22"/>
        <v>0.9662368373959072</v>
      </c>
      <c r="L64" s="161">
        <f>L65+L66+L67+L70+L71+L72</f>
        <v>0</v>
      </c>
      <c r="M64" s="161">
        <f>M65+M66+M67+M70+M71+M72+M68+M69</f>
        <v>131765.97999999998</v>
      </c>
      <c r="N64" s="164" t="e">
        <f t="shared" si="23"/>
        <v>#DIV/0!</v>
      </c>
      <c r="O64" s="164">
        <f t="shared" si="23"/>
        <v>7.248338570512612</v>
      </c>
    </row>
    <row r="65" spans="1:15" ht="15">
      <c r="A65" s="166" t="s">
        <v>118</v>
      </c>
      <c r="B65" s="245">
        <v>810</v>
      </c>
      <c r="C65" s="135">
        <v>2673.01494</v>
      </c>
      <c r="D65" s="135">
        <v>0</v>
      </c>
      <c r="E65" s="168"/>
      <c r="F65" s="172">
        <v>50</v>
      </c>
      <c r="G65" s="208"/>
      <c r="H65" s="168">
        <f>F65</f>
        <v>50</v>
      </c>
      <c r="I65" s="170">
        <f t="shared" si="18"/>
        <v>0</v>
      </c>
      <c r="J65" s="205">
        <f t="shared" si="21"/>
        <v>0</v>
      </c>
      <c r="K65" s="205">
        <f t="shared" si="22"/>
        <v>0.018705469712039843</v>
      </c>
      <c r="L65" s="192"/>
      <c r="M65" s="192">
        <v>50</v>
      </c>
      <c r="N65" s="209" t="e">
        <f t="shared" si="23"/>
        <v>#DIV/0!</v>
      </c>
      <c r="O65" s="209">
        <f t="shared" si="23"/>
        <v>1</v>
      </c>
    </row>
    <row r="66" spans="1:15" ht="15">
      <c r="A66" s="246" t="s">
        <v>110</v>
      </c>
      <c r="B66" s="247">
        <v>300</v>
      </c>
      <c r="C66" s="248">
        <v>823.1</v>
      </c>
      <c r="D66" s="249">
        <v>49</v>
      </c>
      <c r="E66" s="172"/>
      <c r="F66" s="172">
        <f>218.7+713.4</f>
        <v>932.0999999999999</v>
      </c>
      <c r="G66" s="233"/>
      <c r="H66" s="172">
        <f>F66</f>
        <v>932.0999999999999</v>
      </c>
      <c r="I66" s="234">
        <f t="shared" si="18"/>
        <v>0</v>
      </c>
      <c r="J66" s="235">
        <f t="shared" si="21"/>
        <v>0</v>
      </c>
      <c r="K66" s="235">
        <f t="shared" si="22"/>
        <v>1.1324261936581217</v>
      </c>
      <c r="L66" s="221"/>
      <c r="M66" s="221">
        <v>109</v>
      </c>
      <c r="N66" s="236" t="e">
        <f t="shared" si="23"/>
        <v>#DIV/0!</v>
      </c>
      <c r="O66" s="236">
        <f t="shared" si="23"/>
        <v>0.11694024246325503</v>
      </c>
    </row>
    <row r="67" spans="1:15" ht="15">
      <c r="A67" s="246" t="s">
        <v>119</v>
      </c>
      <c r="B67" s="247">
        <v>414</v>
      </c>
      <c r="C67" s="248">
        <v>0</v>
      </c>
      <c r="D67" s="249">
        <v>0</v>
      </c>
      <c r="E67" s="172"/>
      <c r="F67" s="172">
        <v>0</v>
      </c>
      <c r="G67" s="233"/>
      <c r="H67" s="172">
        <v>0</v>
      </c>
      <c r="I67" s="234">
        <v>0</v>
      </c>
      <c r="J67" s="235" t="e">
        <f t="shared" si="21"/>
        <v>#DIV/0!</v>
      </c>
      <c r="K67" s="235" t="e">
        <f t="shared" si="22"/>
        <v>#DIV/0!</v>
      </c>
      <c r="L67" s="221"/>
      <c r="M67" s="221">
        <v>102000</v>
      </c>
      <c r="N67" s="236" t="e">
        <f t="shared" si="23"/>
        <v>#DIV/0!</v>
      </c>
      <c r="O67" s="236" t="e">
        <f t="shared" si="23"/>
        <v>#DIV/0!</v>
      </c>
    </row>
    <row r="68" spans="1:15" ht="15">
      <c r="A68" s="246" t="s">
        <v>120</v>
      </c>
      <c r="B68" s="247" t="s">
        <v>218</v>
      </c>
      <c r="C68" s="135">
        <v>658.06188</v>
      </c>
      <c r="D68" s="135">
        <v>536.12</v>
      </c>
      <c r="E68" s="172"/>
      <c r="F68" s="172">
        <v>900.6188</v>
      </c>
      <c r="G68" s="233"/>
      <c r="H68" s="172">
        <f>F68</f>
        <v>900.6188</v>
      </c>
      <c r="I68" s="234">
        <f t="shared" si="18"/>
        <v>0</v>
      </c>
      <c r="J68" s="235">
        <f t="shared" si="21"/>
        <v>0</v>
      </c>
      <c r="K68" s="235">
        <f t="shared" si="22"/>
        <v>1.3685928745789073</v>
      </c>
      <c r="L68" s="221"/>
      <c r="M68" s="221">
        <f>1800+10258</f>
        <v>12058</v>
      </c>
      <c r="N68" s="236" t="e">
        <f t="shared" si="23"/>
        <v>#DIV/0!</v>
      </c>
      <c r="O68" s="236">
        <f t="shared" si="23"/>
        <v>13.388572390449767</v>
      </c>
    </row>
    <row r="69" spans="1:15" ht="30">
      <c r="A69" s="166" t="s">
        <v>121</v>
      </c>
      <c r="B69" s="247">
        <v>412</v>
      </c>
      <c r="C69" s="248">
        <v>0</v>
      </c>
      <c r="D69" s="249">
        <v>0</v>
      </c>
      <c r="E69" s="168"/>
      <c r="F69" s="172"/>
      <c r="G69" s="208"/>
      <c r="H69" s="168"/>
      <c r="I69" s="170">
        <f t="shared" si="18"/>
        <v>0</v>
      </c>
      <c r="J69" s="205" t="e">
        <f t="shared" si="21"/>
        <v>#DIV/0!</v>
      </c>
      <c r="K69" s="205" t="e">
        <f t="shared" si="22"/>
        <v>#DIV/0!</v>
      </c>
      <c r="L69" s="192"/>
      <c r="M69" s="192">
        <v>0</v>
      </c>
      <c r="N69" s="209" t="e">
        <f t="shared" si="23"/>
        <v>#DIV/0!</v>
      </c>
      <c r="O69" s="209" t="e">
        <f t="shared" si="23"/>
        <v>#DIV/0!</v>
      </c>
    </row>
    <row r="70" spans="1:15" ht="15">
      <c r="A70" s="166" t="s">
        <v>111</v>
      </c>
      <c r="B70" s="247">
        <v>310</v>
      </c>
      <c r="C70" s="135">
        <f>6309.24849+271.858</f>
        <v>6581.10649</v>
      </c>
      <c r="D70" s="135">
        <v>356.74</v>
      </c>
      <c r="E70" s="168"/>
      <c r="F70" s="172">
        <v>4041.66883</v>
      </c>
      <c r="G70" s="208"/>
      <c r="H70" s="168">
        <f>F70+70+70.15</f>
        <v>4181.81883</v>
      </c>
      <c r="I70" s="170">
        <f t="shared" si="18"/>
        <v>140.1500000000001</v>
      </c>
      <c r="J70" s="205">
        <f t="shared" si="21"/>
        <v>0</v>
      </c>
      <c r="K70" s="205">
        <f t="shared" si="22"/>
        <v>0.6354279233065563</v>
      </c>
      <c r="L70" s="192"/>
      <c r="M70" s="192">
        <v>4572.9</v>
      </c>
      <c r="N70" s="209" t="e">
        <f t="shared" si="23"/>
        <v>#DIV/0!</v>
      </c>
      <c r="O70" s="209">
        <f t="shared" si="23"/>
        <v>1.093519395721885</v>
      </c>
    </row>
    <row r="71" spans="1:15" ht="45">
      <c r="A71" s="166" t="s">
        <v>112</v>
      </c>
      <c r="B71" s="247">
        <v>612.622</v>
      </c>
      <c r="C71" s="248">
        <v>0</v>
      </c>
      <c r="D71" s="249">
        <v>0</v>
      </c>
      <c r="E71" s="168"/>
      <c r="F71" s="172">
        <v>0</v>
      </c>
      <c r="G71" s="208"/>
      <c r="H71" s="168">
        <v>0</v>
      </c>
      <c r="I71" s="170">
        <f t="shared" si="18"/>
        <v>0</v>
      </c>
      <c r="J71" s="205" t="e">
        <f t="shared" si="21"/>
        <v>#DIV/0!</v>
      </c>
      <c r="K71" s="205" t="e">
        <f t="shared" si="22"/>
        <v>#DIV/0!</v>
      </c>
      <c r="L71" s="192"/>
      <c r="M71" s="192">
        <v>0</v>
      </c>
      <c r="N71" s="209" t="e">
        <f t="shared" si="23"/>
        <v>#DIV/0!</v>
      </c>
      <c r="O71" s="209" t="e">
        <f t="shared" si="23"/>
        <v>#DIV/0!</v>
      </c>
    </row>
    <row r="72" spans="1:15" ht="15">
      <c r="A72" s="166" t="s">
        <v>114</v>
      </c>
      <c r="B72" s="247"/>
      <c r="C72" s="248">
        <f>C73+C74+C75+C76+C77+C78+C79+C80+C81</f>
        <v>8078.720800000001</v>
      </c>
      <c r="D72" s="250">
        <f>D73+D74+D75+D76+D77+D78+D79+D80+D81</f>
        <v>8922.796999999999</v>
      </c>
      <c r="E72" s="250"/>
      <c r="F72" s="250">
        <f>F73+F74+F75+F76+F77+F78+F79+F80+F81</f>
        <v>12661.84338</v>
      </c>
      <c r="G72" s="251">
        <f>G73+G74+G75+G76+G77+G78+G79+G80+G81</f>
        <v>0</v>
      </c>
      <c r="H72" s="251">
        <f>H73+H74+H75+H76+H77+H78+H79+H80+H81</f>
        <v>12114.2462</v>
      </c>
      <c r="I72" s="170">
        <f t="shared" si="18"/>
        <v>-547.5971800000007</v>
      </c>
      <c r="J72" s="205">
        <f t="shared" si="21"/>
        <v>0</v>
      </c>
      <c r="K72" s="205">
        <f t="shared" si="22"/>
        <v>1.4995252961335164</v>
      </c>
      <c r="L72" s="192"/>
      <c r="M72" s="192">
        <f>M73+M74+M75+M76+M77+M78+M79+M80+M81</f>
        <v>12976.08</v>
      </c>
      <c r="N72" s="209" t="e">
        <f t="shared" si="23"/>
        <v>#DIV/0!</v>
      </c>
      <c r="O72" s="209">
        <f t="shared" si="23"/>
        <v>1.0711421730887392</v>
      </c>
    </row>
    <row r="73" spans="1:15" ht="15">
      <c r="A73" s="252" t="s">
        <v>234</v>
      </c>
      <c r="B73" s="166">
        <v>226</v>
      </c>
      <c r="C73" s="135">
        <f>8579.91069-749.31363+182.7644</f>
        <v>8013.361460000001</v>
      </c>
      <c r="D73" s="253">
        <v>7214.802</v>
      </c>
      <c r="E73" s="168"/>
      <c r="F73" s="172">
        <v>9886.05168</v>
      </c>
      <c r="G73" s="208"/>
      <c r="H73" s="168">
        <f>F73+122.42694+30</f>
        <v>10038.47862</v>
      </c>
      <c r="I73" s="170"/>
      <c r="J73" s="205"/>
      <c r="K73" s="205"/>
      <c r="L73" s="192"/>
      <c r="M73" s="192">
        <v>12650.61</v>
      </c>
      <c r="N73" s="209"/>
      <c r="O73" s="209"/>
    </row>
    <row r="74" spans="1:15" ht="15">
      <c r="A74" s="252" t="s">
        <v>235</v>
      </c>
      <c r="B74" s="166">
        <v>227</v>
      </c>
      <c r="C74" s="248">
        <v>12.71</v>
      </c>
      <c r="D74" s="249">
        <v>43</v>
      </c>
      <c r="E74" s="168"/>
      <c r="F74" s="172">
        <v>47.26758</v>
      </c>
      <c r="G74" s="208"/>
      <c r="H74" s="168">
        <f>F74</f>
        <v>47.26758</v>
      </c>
      <c r="I74" s="170"/>
      <c r="J74" s="205"/>
      <c r="K74" s="205"/>
      <c r="L74" s="192"/>
      <c r="M74" s="192">
        <v>25.47</v>
      </c>
      <c r="N74" s="209"/>
      <c r="O74" s="209"/>
    </row>
    <row r="75" spans="1:15" ht="15">
      <c r="A75" s="252" t="s">
        <v>236</v>
      </c>
      <c r="B75" s="166"/>
      <c r="C75" s="248"/>
      <c r="D75" s="249"/>
      <c r="E75" s="168"/>
      <c r="F75" s="172"/>
      <c r="G75" s="208"/>
      <c r="H75" s="168"/>
      <c r="I75" s="170"/>
      <c r="J75" s="205"/>
      <c r="K75" s="205"/>
      <c r="L75" s="192"/>
      <c r="M75" s="192"/>
      <c r="N75" s="209"/>
      <c r="O75" s="209"/>
    </row>
    <row r="76" spans="1:15" ht="15">
      <c r="A76" s="254" t="s">
        <v>237</v>
      </c>
      <c r="B76" s="166"/>
      <c r="C76" s="248"/>
      <c r="D76" s="249"/>
      <c r="E76" s="168"/>
      <c r="F76" s="172"/>
      <c r="G76" s="208"/>
      <c r="H76" s="168"/>
      <c r="I76" s="170"/>
      <c r="J76" s="205"/>
      <c r="K76" s="205"/>
      <c r="L76" s="192"/>
      <c r="M76" s="192"/>
      <c r="N76" s="209"/>
      <c r="O76" s="209"/>
    </row>
    <row r="77" spans="1:15" ht="15">
      <c r="A77" s="254" t="s">
        <v>238</v>
      </c>
      <c r="B77" s="166"/>
      <c r="C77" s="248"/>
      <c r="D77" s="249"/>
      <c r="E77" s="168"/>
      <c r="F77" s="172"/>
      <c r="G77" s="208"/>
      <c r="H77" s="168"/>
      <c r="I77" s="170"/>
      <c r="J77" s="205"/>
      <c r="K77" s="205"/>
      <c r="L77" s="192"/>
      <c r="M77" s="192"/>
      <c r="N77" s="209"/>
      <c r="O77" s="209"/>
    </row>
    <row r="78" spans="1:15" ht="38.25">
      <c r="A78" s="254" t="s">
        <v>239</v>
      </c>
      <c r="B78" s="166"/>
      <c r="C78" s="248"/>
      <c r="D78" s="249"/>
      <c r="E78" s="168"/>
      <c r="F78" s="172"/>
      <c r="G78" s="208"/>
      <c r="H78" s="168"/>
      <c r="I78" s="170"/>
      <c r="J78" s="205"/>
      <c r="K78" s="205"/>
      <c r="L78" s="192"/>
      <c r="M78" s="192"/>
      <c r="N78" s="209"/>
      <c r="O78" s="209"/>
    </row>
    <row r="79" spans="1:15" ht="15">
      <c r="A79" s="254" t="s">
        <v>240</v>
      </c>
      <c r="B79" s="166">
        <v>870</v>
      </c>
      <c r="C79" s="248">
        <v>0</v>
      </c>
      <c r="D79" s="255">
        <v>1664.995</v>
      </c>
      <c r="E79" s="168"/>
      <c r="F79" s="172">
        <v>2728.52412</v>
      </c>
      <c r="G79" s="208"/>
      <c r="H79" s="168">
        <f>2028.5</f>
        <v>2028.5</v>
      </c>
      <c r="I79" s="170"/>
      <c r="J79" s="205"/>
      <c r="K79" s="205"/>
      <c r="L79" s="192"/>
      <c r="M79" s="192">
        <v>300</v>
      </c>
      <c r="N79" s="209"/>
      <c r="O79" s="209"/>
    </row>
    <row r="80" spans="1:15" ht="76.5">
      <c r="A80" s="254" t="s">
        <v>241</v>
      </c>
      <c r="B80" s="256">
        <v>830</v>
      </c>
      <c r="C80" s="255">
        <v>52.64934</v>
      </c>
      <c r="D80" s="249">
        <v>0</v>
      </c>
      <c r="E80" s="168"/>
      <c r="F80" s="172">
        <v>0</v>
      </c>
      <c r="G80" s="208"/>
      <c r="H80" s="168">
        <v>0</v>
      </c>
      <c r="I80" s="170"/>
      <c r="J80" s="205"/>
      <c r="K80" s="205"/>
      <c r="L80" s="192"/>
      <c r="M80" s="192">
        <v>0</v>
      </c>
      <c r="N80" s="209"/>
      <c r="O80" s="209"/>
    </row>
    <row r="81" spans="1:15" ht="15">
      <c r="A81" s="254" t="s">
        <v>242</v>
      </c>
      <c r="B81" s="252">
        <v>880</v>
      </c>
      <c r="C81" s="257">
        <v>0</v>
      </c>
      <c r="D81" s="258">
        <v>0</v>
      </c>
      <c r="E81" s="208"/>
      <c r="F81" s="233">
        <v>0</v>
      </c>
      <c r="G81" s="208"/>
      <c r="H81" s="208">
        <v>0</v>
      </c>
      <c r="I81" s="259">
        <f>H81-F81</f>
        <v>0</v>
      </c>
      <c r="J81" s="209" t="e">
        <f>G81/C81</f>
        <v>#DIV/0!</v>
      </c>
      <c r="K81" s="209" t="e">
        <f>H81/C81</f>
        <v>#DIV/0!</v>
      </c>
      <c r="L81" s="208"/>
      <c r="M81" s="208">
        <v>0</v>
      </c>
      <c r="N81" s="171" t="e">
        <f aca="true" t="shared" si="25" ref="N81:O83">L81/G81</f>
        <v>#DIV/0!</v>
      </c>
      <c r="O81" s="171" t="e">
        <f t="shared" si="25"/>
        <v>#DIV/0!</v>
      </c>
    </row>
    <row r="82" spans="1:15" ht="15">
      <c r="A82" s="260" t="s">
        <v>67</v>
      </c>
      <c r="B82" s="260"/>
      <c r="C82" s="261">
        <f>SUM(C84:C99)</f>
        <v>5236.097140000001</v>
      </c>
      <c r="D82" s="262">
        <f>SUM(D84:D99)</f>
        <v>4204.1900000000005</v>
      </c>
      <c r="E82" s="262"/>
      <c r="F82" s="262">
        <f>SUM(F84:F99)</f>
        <v>8144.941920000001</v>
      </c>
      <c r="G82" s="262">
        <f>SUM(G84:G99)</f>
        <v>0</v>
      </c>
      <c r="H82" s="262">
        <f>SUM(H84:H99)</f>
        <v>8144.941920000001</v>
      </c>
      <c r="I82" s="263">
        <f>H82-F82</f>
        <v>0</v>
      </c>
      <c r="J82" s="264">
        <f>G82/C82</f>
        <v>0</v>
      </c>
      <c r="K82" s="264">
        <f>H82/C82</f>
        <v>1.5555368248954984</v>
      </c>
      <c r="L82" s="265"/>
      <c r="M82" s="265">
        <f>SUM(M84:M99)</f>
        <v>2158.3050000000003</v>
      </c>
      <c r="N82" s="266" t="e">
        <f t="shared" si="25"/>
        <v>#DIV/0!</v>
      </c>
      <c r="O82" s="266">
        <f t="shared" si="25"/>
        <v>0.2649871565934997</v>
      </c>
    </row>
    <row r="83" spans="1:15" ht="28.5">
      <c r="A83" s="267" t="s">
        <v>68</v>
      </c>
      <c r="B83" s="267"/>
      <c r="C83" s="167"/>
      <c r="D83" s="268"/>
      <c r="E83" s="168"/>
      <c r="F83" s="172"/>
      <c r="G83" s="192"/>
      <c r="H83" s="168"/>
      <c r="I83" s="170">
        <f>H83-F83</f>
        <v>0</v>
      </c>
      <c r="J83" s="205" t="e">
        <f>G83/C83</f>
        <v>#DIV/0!</v>
      </c>
      <c r="K83" s="205" t="e">
        <f>H83/C83</f>
        <v>#DIV/0!</v>
      </c>
      <c r="L83" s="192"/>
      <c r="M83" s="192"/>
      <c r="N83" s="171" t="e">
        <f t="shared" si="25"/>
        <v>#DIV/0!</v>
      </c>
      <c r="O83" s="171" t="e">
        <f t="shared" si="25"/>
        <v>#DIV/0!</v>
      </c>
    </row>
    <row r="84" spans="1:15" ht="30">
      <c r="A84" s="269" t="s">
        <v>219</v>
      </c>
      <c r="B84" s="267"/>
      <c r="C84" s="135">
        <f>96.54955</f>
        <v>96.54955</v>
      </c>
      <c r="D84" s="135">
        <v>157.34</v>
      </c>
      <c r="E84" s="168"/>
      <c r="F84" s="135">
        <v>1612.08692</v>
      </c>
      <c r="G84" s="192"/>
      <c r="H84" s="135">
        <v>1612.08692</v>
      </c>
      <c r="I84" s="170"/>
      <c r="J84" s="205"/>
      <c r="K84" s="205"/>
      <c r="L84" s="192"/>
      <c r="M84" s="192">
        <v>63.92</v>
      </c>
      <c r="N84" s="171"/>
      <c r="O84" s="171"/>
    </row>
    <row r="85" spans="1:15" ht="30">
      <c r="A85" s="269" t="s">
        <v>220</v>
      </c>
      <c r="B85" s="267"/>
      <c r="C85" s="135">
        <f>2699.72014+19.582</f>
        <v>2719.30214</v>
      </c>
      <c r="D85" s="270">
        <v>63.79</v>
      </c>
      <c r="E85" s="172"/>
      <c r="F85" s="270">
        <v>71.29</v>
      </c>
      <c r="G85" s="221"/>
      <c r="H85" s="270">
        <v>71.29</v>
      </c>
      <c r="I85" s="234"/>
      <c r="J85" s="235"/>
      <c r="K85" s="235"/>
      <c r="L85" s="221"/>
      <c r="M85" s="221">
        <v>65</v>
      </c>
      <c r="N85" s="241"/>
      <c r="O85" s="241"/>
    </row>
    <row r="86" spans="1:15" ht="30">
      <c r="A86" s="269" t="s">
        <v>221</v>
      </c>
      <c r="B86" s="267"/>
      <c r="C86" s="135">
        <v>178.00187</v>
      </c>
      <c r="D86" s="135">
        <v>216</v>
      </c>
      <c r="E86" s="168"/>
      <c r="F86" s="135">
        <f>407.535+7.5</f>
        <v>415.035</v>
      </c>
      <c r="G86" s="192"/>
      <c r="H86" s="135">
        <f>407.535+7.5</f>
        <v>415.035</v>
      </c>
      <c r="I86" s="170"/>
      <c r="J86" s="205"/>
      <c r="K86" s="205"/>
      <c r="L86" s="192"/>
      <c r="M86" s="192">
        <v>210.48</v>
      </c>
      <c r="N86" s="171"/>
      <c r="O86" s="171"/>
    </row>
    <row r="87" spans="1:15" ht="30">
      <c r="A87" s="269" t="s">
        <v>222</v>
      </c>
      <c r="B87" s="267"/>
      <c r="C87" s="135">
        <v>204.28725</v>
      </c>
      <c r="D87" s="135">
        <v>330</v>
      </c>
      <c r="E87" s="168"/>
      <c r="F87" s="135">
        <v>861.151</v>
      </c>
      <c r="G87" s="192"/>
      <c r="H87" s="135">
        <v>861.151</v>
      </c>
      <c r="I87" s="170"/>
      <c r="J87" s="205"/>
      <c r="K87" s="205"/>
      <c r="L87" s="192"/>
      <c r="M87" s="192">
        <v>862</v>
      </c>
      <c r="N87" s="171"/>
      <c r="O87" s="171"/>
    </row>
    <row r="88" spans="1:15" ht="60">
      <c r="A88" s="269" t="s">
        <v>223</v>
      </c>
      <c r="B88" s="267"/>
      <c r="C88" s="135">
        <v>470.16697</v>
      </c>
      <c r="D88" s="135">
        <v>557</v>
      </c>
      <c r="E88" s="168"/>
      <c r="F88" s="135">
        <v>573.71907</v>
      </c>
      <c r="G88" s="192"/>
      <c r="H88" s="135">
        <v>573.71907</v>
      </c>
      <c r="I88" s="170"/>
      <c r="J88" s="205"/>
      <c r="K88" s="205"/>
      <c r="L88" s="192"/>
      <c r="M88" s="192">
        <v>0</v>
      </c>
      <c r="N88" s="171"/>
      <c r="O88" s="171"/>
    </row>
    <row r="89" spans="1:15" ht="30">
      <c r="A89" s="269" t="s">
        <v>224</v>
      </c>
      <c r="B89" s="267"/>
      <c r="C89" s="135">
        <v>0</v>
      </c>
      <c r="D89" s="135">
        <v>0</v>
      </c>
      <c r="E89" s="168"/>
      <c r="F89" s="135">
        <v>0</v>
      </c>
      <c r="G89" s="192"/>
      <c r="H89" s="135">
        <v>0</v>
      </c>
      <c r="I89" s="170"/>
      <c r="J89" s="205"/>
      <c r="K89" s="205"/>
      <c r="L89" s="192"/>
      <c r="M89" s="192">
        <v>0</v>
      </c>
      <c r="N89" s="171"/>
      <c r="O89" s="171"/>
    </row>
    <row r="90" spans="1:15" ht="30">
      <c r="A90" s="269" t="s">
        <v>225</v>
      </c>
      <c r="B90" s="267"/>
      <c r="C90" s="135">
        <v>861.32197</v>
      </c>
      <c r="D90" s="135">
        <v>409.94</v>
      </c>
      <c r="E90" s="168"/>
      <c r="F90" s="135">
        <v>833.18</v>
      </c>
      <c r="G90" s="192"/>
      <c r="H90" s="135">
        <v>833.18</v>
      </c>
      <c r="I90" s="170"/>
      <c r="J90" s="205"/>
      <c r="K90" s="205"/>
      <c r="L90" s="192"/>
      <c r="M90" s="192">
        <v>401.905</v>
      </c>
      <c r="N90" s="171"/>
      <c r="O90" s="171"/>
    </row>
    <row r="91" spans="1:15" ht="30">
      <c r="A91" s="269" t="s">
        <v>226</v>
      </c>
      <c r="B91" s="267"/>
      <c r="C91" s="135">
        <v>617.03444</v>
      </c>
      <c r="D91" s="135">
        <v>556</v>
      </c>
      <c r="E91" s="168"/>
      <c r="F91" s="135">
        <v>1440.56651</v>
      </c>
      <c r="G91" s="192"/>
      <c r="H91" s="135">
        <v>1440.56651</v>
      </c>
      <c r="I91" s="170"/>
      <c r="J91" s="205"/>
      <c r="K91" s="205"/>
      <c r="L91" s="192"/>
      <c r="M91" s="192">
        <v>500</v>
      </c>
      <c r="N91" s="171"/>
      <c r="O91" s="171"/>
    </row>
    <row r="92" spans="1:15" ht="30">
      <c r="A92" s="269" t="s">
        <v>227</v>
      </c>
      <c r="B92" s="267"/>
      <c r="C92" s="135">
        <v>0</v>
      </c>
      <c r="D92" s="135">
        <v>0</v>
      </c>
      <c r="E92" s="168"/>
      <c r="F92" s="135">
        <v>0</v>
      </c>
      <c r="G92" s="192"/>
      <c r="H92" s="135">
        <v>0</v>
      </c>
      <c r="I92" s="170"/>
      <c r="J92" s="205"/>
      <c r="K92" s="205"/>
      <c r="L92" s="192"/>
      <c r="M92" s="192">
        <v>0</v>
      </c>
      <c r="N92" s="171"/>
      <c r="O92" s="171"/>
    </row>
    <row r="93" spans="1:15" ht="45">
      <c r="A93" s="269" t="s">
        <v>228</v>
      </c>
      <c r="B93" s="267"/>
      <c r="C93" s="135">
        <v>0</v>
      </c>
      <c r="D93" s="135">
        <v>0</v>
      </c>
      <c r="E93" s="168"/>
      <c r="F93" s="135">
        <v>0</v>
      </c>
      <c r="G93" s="192"/>
      <c r="H93" s="135">
        <v>0</v>
      </c>
      <c r="I93" s="170"/>
      <c r="J93" s="205"/>
      <c r="K93" s="205"/>
      <c r="L93" s="192"/>
      <c r="M93" s="192">
        <v>0</v>
      </c>
      <c r="N93" s="171"/>
      <c r="O93" s="171"/>
    </row>
    <row r="94" spans="1:15" ht="45">
      <c r="A94" s="269" t="s">
        <v>229</v>
      </c>
      <c r="B94" s="267"/>
      <c r="C94" s="135">
        <v>0</v>
      </c>
      <c r="D94" s="135">
        <v>0</v>
      </c>
      <c r="E94" s="168"/>
      <c r="F94" s="135">
        <v>0</v>
      </c>
      <c r="G94" s="192"/>
      <c r="H94" s="135">
        <v>0</v>
      </c>
      <c r="I94" s="170"/>
      <c r="J94" s="205"/>
      <c r="K94" s="205"/>
      <c r="L94" s="192"/>
      <c r="M94" s="192">
        <v>0</v>
      </c>
      <c r="N94" s="171"/>
      <c r="O94" s="171"/>
    </row>
    <row r="95" spans="1:15" ht="75">
      <c r="A95" s="269" t="s">
        <v>230</v>
      </c>
      <c r="B95" s="267"/>
      <c r="C95" s="135">
        <v>0</v>
      </c>
      <c r="D95" s="135">
        <v>0</v>
      </c>
      <c r="E95" s="168"/>
      <c r="F95" s="135">
        <v>0</v>
      </c>
      <c r="G95" s="192"/>
      <c r="H95" s="135">
        <v>0</v>
      </c>
      <c r="I95" s="170"/>
      <c r="J95" s="205"/>
      <c r="K95" s="205"/>
      <c r="L95" s="192"/>
      <c r="M95" s="192">
        <v>0</v>
      </c>
      <c r="N95" s="171"/>
      <c r="O95" s="171"/>
    </row>
    <row r="96" spans="1:15" ht="30">
      <c r="A96" s="269" t="s">
        <v>231</v>
      </c>
      <c r="B96" s="267"/>
      <c r="C96" s="135">
        <v>0</v>
      </c>
      <c r="D96" s="135">
        <v>0</v>
      </c>
      <c r="E96" s="168"/>
      <c r="F96" s="135">
        <v>0</v>
      </c>
      <c r="G96" s="192"/>
      <c r="H96" s="135">
        <v>0</v>
      </c>
      <c r="I96" s="170"/>
      <c r="J96" s="205"/>
      <c r="K96" s="205"/>
      <c r="L96" s="192"/>
      <c r="M96" s="192">
        <v>0</v>
      </c>
      <c r="N96" s="171"/>
      <c r="O96" s="171"/>
    </row>
    <row r="97" spans="1:15" ht="30">
      <c r="A97" s="269" t="s">
        <v>232</v>
      </c>
      <c r="B97" s="267"/>
      <c r="C97" s="135">
        <v>41.43295</v>
      </c>
      <c r="D97" s="135">
        <v>1.52</v>
      </c>
      <c r="E97" s="168"/>
      <c r="F97" s="135">
        <v>180.31342</v>
      </c>
      <c r="G97" s="192"/>
      <c r="H97" s="135">
        <v>180.31342</v>
      </c>
      <c r="I97" s="170"/>
      <c r="J97" s="205"/>
      <c r="K97" s="205"/>
      <c r="L97" s="192"/>
      <c r="M97" s="192">
        <v>0</v>
      </c>
      <c r="N97" s="171"/>
      <c r="O97" s="171"/>
    </row>
    <row r="98" spans="1:15" ht="30">
      <c r="A98" s="269" t="s">
        <v>233</v>
      </c>
      <c r="B98" s="267"/>
      <c r="C98" s="135">
        <v>48</v>
      </c>
      <c r="D98" s="135">
        <v>25</v>
      </c>
      <c r="E98" s="168"/>
      <c r="F98" s="135">
        <v>70</v>
      </c>
      <c r="G98" s="192"/>
      <c r="H98" s="135">
        <v>70</v>
      </c>
      <c r="I98" s="170"/>
      <c r="J98" s="205"/>
      <c r="K98" s="205"/>
      <c r="L98" s="192"/>
      <c r="M98" s="192">
        <f>70-15</f>
        <v>55</v>
      </c>
      <c r="N98" s="171"/>
      <c r="O98" s="171"/>
    </row>
    <row r="99" spans="1:15" ht="45">
      <c r="A99" s="269" t="s">
        <v>249</v>
      </c>
      <c r="B99" s="267"/>
      <c r="C99" s="135">
        <v>0</v>
      </c>
      <c r="D99" s="135">
        <v>1887.6</v>
      </c>
      <c r="E99" s="168"/>
      <c r="F99" s="135">
        <v>2087.6</v>
      </c>
      <c r="G99" s="192"/>
      <c r="H99" s="135">
        <v>2087.6</v>
      </c>
      <c r="I99" s="170"/>
      <c r="J99" s="205"/>
      <c r="K99" s="205"/>
      <c r="L99" s="192"/>
      <c r="M99" s="192">
        <v>0</v>
      </c>
      <c r="N99" s="171"/>
      <c r="O99" s="171"/>
    </row>
    <row r="100" spans="1:15" ht="15">
      <c r="A100" s="260" t="s">
        <v>123</v>
      </c>
      <c r="B100" s="260">
        <v>409</v>
      </c>
      <c r="C100" s="260">
        <v>4161.02</v>
      </c>
      <c r="D100" s="260">
        <v>6231</v>
      </c>
      <c r="E100" s="271"/>
      <c r="F100" s="272">
        <v>6794.14603</v>
      </c>
      <c r="G100" s="265"/>
      <c r="H100" s="273">
        <f>F100</f>
        <v>6794.14603</v>
      </c>
      <c r="I100" s="274">
        <f>H100-F100</f>
        <v>0</v>
      </c>
      <c r="J100" s="264">
        <f>G100/C100</f>
        <v>0</v>
      </c>
      <c r="K100" s="264">
        <f>H100/C100</f>
        <v>1.6328078283690055</v>
      </c>
      <c r="L100" s="265"/>
      <c r="M100" s="265">
        <v>5446.11</v>
      </c>
      <c r="N100" s="266" t="e">
        <f>L100/G100</f>
        <v>#DIV/0!</v>
      </c>
      <c r="O100" s="266">
        <f>M100/H100</f>
        <v>0.8015885993548478</v>
      </c>
    </row>
    <row r="101" spans="1:15" ht="28.5">
      <c r="A101" s="260" t="s">
        <v>193</v>
      </c>
      <c r="B101" s="260"/>
      <c r="C101" s="261"/>
      <c r="D101" s="271"/>
      <c r="E101" s="271"/>
      <c r="F101" s="271"/>
      <c r="G101" s="265"/>
      <c r="H101" s="271"/>
      <c r="I101" s="263">
        <f>H101-F101</f>
        <v>0</v>
      </c>
      <c r="J101" s="264" t="e">
        <f>G101/C101</f>
        <v>#DIV/0!</v>
      </c>
      <c r="K101" s="264" t="e">
        <f>H101/C101</f>
        <v>#DIV/0!</v>
      </c>
      <c r="L101" s="265"/>
      <c r="M101" s="265"/>
      <c r="N101" s="266" t="e">
        <f>L101/G101</f>
        <v>#DIV/0!</v>
      </c>
      <c r="O101" s="266" t="e">
        <f>M101/H101</f>
        <v>#DIV/0!</v>
      </c>
    </row>
    <row r="102" spans="1:15" ht="15">
      <c r="A102" s="154" t="s">
        <v>15</v>
      </c>
      <c r="B102" s="154"/>
      <c r="C102" s="155">
        <f>C7-C39</f>
        <v>855.801719999974</v>
      </c>
      <c r="D102" s="155">
        <f>D7-D39</f>
        <v>-0.0020000000076834112</v>
      </c>
      <c r="E102" s="155"/>
      <c r="F102" s="155">
        <f>F7-F39</f>
        <v>-17242.02739999999</v>
      </c>
      <c r="G102" s="155">
        <f>G7-G39</f>
        <v>0</v>
      </c>
      <c r="H102" s="155">
        <f>H7-H39</f>
        <v>-13917.681599999996</v>
      </c>
      <c r="I102" s="155">
        <f>F102-H102</f>
        <v>-3324.3457999999955</v>
      </c>
      <c r="J102" s="155"/>
      <c r="K102" s="155"/>
      <c r="L102" s="155">
        <f>L7-L39</f>
        <v>0</v>
      </c>
      <c r="M102" s="155">
        <f>M7-M39</f>
        <v>-130182.82499999998</v>
      </c>
      <c r="N102" s="275"/>
      <c r="O102" s="275"/>
    </row>
    <row r="103" spans="1:15" ht="15">
      <c r="A103" s="205" t="s">
        <v>24</v>
      </c>
      <c r="B103" s="205"/>
      <c r="C103" s="192">
        <f>(C102-C105)/(C8-C28)</f>
        <v>0.02979548574272488</v>
      </c>
      <c r="D103" s="192">
        <f>(D102-D105)/(D8-D28)</f>
        <v>-7.083492443979886E-08</v>
      </c>
      <c r="E103" s="169" t="s">
        <v>3</v>
      </c>
      <c r="F103" s="192">
        <f>(F102-F105)/(F8-F28)</f>
        <v>-0.6106688516879606</v>
      </c>
      <c r="G103" s="192" t="e">
        <f>(G102-G105)/(G8-G28)</f>
        <v>#DIV/0!</v>
      </c>
      <c r="H103" s="192">
        <f>(H102-H105)/(H8-H28)</f>
        <v>-0.4504803853025711</v>
      </c>
      <c r="I103" s="192"/>
      <c r="J103" s="192"/>
      <c r="K103" s="192"/>
      <c r="L103" s="192" t="e">
        <f>(L102-L105)/(L8-L28)</f>
        <v>#DIV/0!</v>
      </c>
      <c r="M103" s="192">
        <f>(M102-M105)/(M8-M28)</f>
        <v>-4.1801149586942445</v>
      </c>
      <c r="N103" s="276"/>
      <c r="O103" s="276"/>
    </row>
    <row r="104" spans="1:15" ht="15">
      <c r="A104" s="154" t="s">
        <v>25</v>
      </c>
      <c r="B104" s="154"/>
      <c r="C104" s="155">
        <v>-855.8</v>
      </c>
      <c r="D104" s="155">
        <f>D105+D108+D109+D110</f>
        <v>0</v>
      </c>
      <c r="E104" s="155"/>
      <c r="F104" s="155">
        <v>17242</v>
      </c>
      <c r="G104" s="155">
        <f>G105+G108+G109+G110</f>
        <v>0</v>
      </c>
      <c r="H104" s="155">
        <v>14107.7</v>
      </c>
      <c r="I104" s="155"/>
      <c r="J104" s="155"/>
      <c r="K104" s="155"/>
      <c r="L104" s="155">
        <f>L105+L108+L109+L110</f>
        <v>0</v>
      </c>
      <c r="M104" s="155">
        <v>130182.8</v>
      </c>
      <c r="N104" s="275"/>
      <c r="O104" s="277"/>
    </row>
    <row r="105" spans="1:15" ht="15">
      <c r="A105" s="166" t="s">
        <v>26</v>
      </c>
      <c r="B105" s="166"/>
      <c r="C105" s="167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278"/>
      <c r="O105" s="278"/>
    </row>
    <row r="106" spans="1:15" ht="15">
      <c r="A106" s="166" t="s">
        <v>138</v>
      </c>
      <c r="B106" s="166"/>
      <c r="C106" s="167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278"/>
      <c r="O106" s="278"/>
    </row>
    <row r="107" spans="1:15" ht="30">
      <c r="A107" s="166" t="s">
        <v>145</v>
      </c>
      <c r="B107" s="166"/>
      <c r="C107" s="248"/>
      <c r="D107" s="168">
        <v>0</v>
      </c>
      <c r="E107" s="168"/>
      <c r="F107" s="172">
        <v>17242</v>
      </c>
      <c r="G107" s="172"/>
      <c r="H107" s="172">
        <v>14107.7</v>
      </c>
      <c r="I107" s="168"/>
      <c r="J107" s="168"/>
      <c r="K107" s="168"/>
      <c r="L107" s="168"/>
      <c r="M107" s="168">
        <v>130182.8</v>
      </c>
      <c r="N107" s="278"/>
      <c r="O107" s="278"/>
    </row>
    <row r="108" spans="1:15" ht="15">
      <c r="A108" s="279" t="s">
        <v>27</v>
      </c>
      <c r="B108" s="279"/>
      <c r="C108" s="280"/>
      <c r="D108" s="268"/>
      <c r="E108" s="268"/>
      <c r="F108" s="268"/>
      <c r="G108" s="168"/>
      <c r="H108" s="268"/>
      <c r="I108" s="268"/>
      <c r="J108" s="168"/>
      <c r="K108" s="168"/>
      <c r="L108" s="168"/>
      <c r="M108" s="168"/>
      <c r="N108" s="278"/>
      <c r="O108" s="278"/>
    </row>
    <row r="109" spans="1:15" ht="15">
      <c r="A109" s="279" t="s">
        <v>28</v>
      </c>
      <c r="B109" s="279"/>
      <c r="C109" s="280"/>
      <c r="D109" s="268"/>
      <c r="E109" s="268"/>
      <c r="F109" s="268"/>
      <c r="G109" s="168"/>
      <c r="H109" s="168"/>
      <c r="I109" s="168"/>
      <c r="J109" s="168"/>
      <c r="K109" s="168"/>
      <c r="L109" s="168"/>
      <c r="M109" s="168"/>
      <c r="N109" s="278"/>
      <c r="O109" s="278"/>
    </row>
    <row r="110" spans="1:15" ht="15">
      <c r="A110" s="279" t="s">
        <v>29</v>
      </c>
      <c r="B110" s="279"/>
      <c r="C110" s="280"/>
      <c r="D110" s="268"/>
      <c r="E110" s="268"/>
      <c r="F110" s="268"/>
      <c r="G110" s="168"/>
      <c r="H110" s="168"/>
      <c r="I110" s="168"/>
      <c r="J110" s="168"/>
      <c r="K110" s="168"/>
      <c r="L110" s="168"/>
      <c r="M110" s="168"/>
      <c r="N110" s="278"/>
      <c r="O110" s="278"/>
    </row>
    <row r="111" spans="1:15" ht="30">
      <c r="A111" s="279" t="s">
        <v>30</v>
      </c>
      <c r="B111" s="279"/>
      <c r="C111" s="281"/>
      <c r="D111" s="268"/>
      <c r="E111" s="282"/>
      <c r="F111" s="282"/>
      <c r="G111" s="282"/>
      <c r="H111" s="282"/>
      <c r="I111" s="282"/>
      <c r="J111" s="168"/>
      <c r="K111" s="168"/>
      <c r="L111" s="168"/>
      <c r="M111" s="168"/>
      <c r="N111" s="278"/>
      <c r="O111" s="278"/>
    </row>
    <row r="112" spans="1:15" ht="15">
      <c r="A112" s="154" t="s">
        <v>31</v>
      </c>
      <c r="B112" s="154"/>
      <c r="C112" s="260"/>
      <c r="D112" s="156"/>
      <c r="E112" s="155"/>
      <c r="F112" s="155"/>
      <c r="G112" s="156"/>
      <c r="H112" s="155"/>
      <c r="I112" s="155"/>
      <c r="J112" s="156"/>
      <c r="K112" s="156"/>
      <c r="L112" s="155"/>
      <c r="M112" s="155"/>
      <c r="N112" s="275"/>
      <c r="O112" s="277"/>
    </row>
    <row r="113" spans="1:15" ht="15">
      <c r="A113" s="283" t="s">
        <v>20</v>
      </c>
      <c r="B113" s="283"/>
      <c r="C113" s="284"/>
      <c r="D113" s="285"/>
      <c r="E113" s="286"/>
      <c r="F113" s="286"/>
      <c r="G113" s="285"/>
      <c r="H113" s="286"/>
      <c r="I113" s="286"/>
      <c r="J113" s="285"/>
      <c r="K113" s="285"/>
      <c r="L113" s="286"/>
      <c r="M113" s="286"/>
      <c r="N113" s="287"/>
      <c r="O113" s="288"/>
    </row>
    <row r="114" spans="1:15" ht="28.5">
      <c r="A114" s="154" t="s">
        <v>248</v>
      </c>
      <c r="B114" s="154"/>
      <c r="C114" s="289">
        <v>2.634</v>
      </c>
      <c r="D114" s="290"/>
      <c r="E114" s="290"/>
      <c r="F114" s="290"/>
      <c r="G114" s="290"/>
      <c r="H114" s="290"/>
      <c r="I114" s="290"/>
      <c r="J114" s="290"/>
      <c r="K114" s="290"/>
      <c r="L114" s="289"/>
      <c r="M114" s="289"/>
      <c r="N114" s="291"/>
      <c r="O114" s="289"/>
    </row>
    <row r="115" spans="1:15" ht="14.25">
      <c r="A115" s="154" t="s">
        <v>32</v>
      </c>
      <c r="B115" s="154"/>
      <c r="C115" s="158">
        <f aca="true" t="shared" si="26" ref="C115:H115">C7/C114</f>
        <v>44847.118223234625</v>
      </c>
      <c r="D115" s="260" t="e">
        <f t="shared" si="26"/>
        <v>#DIV/0!</v>
      </c>
      <c r="E115" s="260" t="e">
        <f t="shared" si="26"/>
        <v>#VALUE!</v>
      </c>
      <c r="F115" s="260" t="e">
        <f t="shared" si="26"/>
        <v>#DIV/0!</v>
      </c>
      <c r="G115" s="260" t="e">
        <f t="shared" si="26"/>
        <v>#DIV/0!</v>
      </c>
      <c r="H115" s="260" t="e">
        <f t="shared" si="26"/>
        <v>#DIV/0!</v>
      </c>
      <c r="I115" s="260"/>
      <c r="J115" s="260"/>
      <c r="K115" s="260"/>
      <c r="L115" s="260" t="e">
        <f>L7/L114</f>
        <v>#DIV/0!</v>
      </c>
      <c r="M115" s="260" t="e">
        <f>M7/M114</f>
        <v>#DIV/0!</v>
      </c>
      <c r="N115" s="260"/>
      <c r="O115" s="260"/>
    </row>
    <row r="116" spans="1:15" ht="14.25">
      <c r="A116" s="154" t="s">
        <v>33</v>
      </c>
      <c r="B116" s="154"/>
      <c r="C116" s="158">
        <f aca="true" t="shared" si="27" ref="C116:H116">C39/C114</f>
        <v>44522.212482915726</v>
      </c>
      <c r="D116" s="260" t="e">
        <f t="shared" si="27"/>
        <v>#DIV/0!</v>
      </c>
      <c r="E116" s="260" t="e">
        <f t="shared" si="27"/>
        <v>#DIV/0!</v>
      </c>
      <c r="F116" s="260" t="e">
        <f t="shared" si="27"/>
        <v>#DIV/0!</v>
      </c>
      <c r="G116" s="260" t="e">
        <f t="shared" si="27"/>
        <v>#DIV/0!</v>
      </c>
      <c r="H116" s="260" t="e">
        <f t="shared" si="27"/>
        <v>#DIV/0!</v>
      </c>
      <c r="I116" s="260"/>
      <c r="J116" s="260"/>
      <c r="K116" s="260"/>
      <c r="L116" s="260" t="e">
        <f>L39/L114</f>
        <v>#DIV/0!</v>
      </c>
      <c r="M116" s="260" t="e">
        <f>M39/M114</f>
        <v>#DIV/0!</v>
      </c>
      <c r="N116" s="260"/>
      <c r="O116" s="260"/>
    </row>
    <row r="117" spans="1:15" ht="28.5">
      <c r="A117" s="154" t="s">
        <v>34</v>
      </c>
      <c r="B117" s="154"/>
      <c r="C117" s="292">
        <v>78.8</v>
      </c>
      <c r="D117" s="292"/>
      <c r="E117" s="292">
        <v>78.8</v>
      </c>
      <c r="F117" s="292">
        <v>78.8</v>
      </c>
      <c r="G117" s="292"/>
      <c r="H117" s="292">
        <v>78.8</v>
      </c>
      <c r="I117" s="292"/>
      <c r="J117" s="292"/>
      <c r="K117" s="292"/>
      <c r="L117" s="292"/>
      <c r="M117" s="292">
        <v>78.8</v>
      </c>
      <c r="N117" s="275"/>
      <c r="O117" s="292"/>
    </row>
    <row r="118" spans="1:15" ht="28.5">
      <c r="A118" s="154" t="s">
        <v>35</v>
      </c>
      <c r="B118" s="154"/>
      <c r="C118" s="292">
        <v>36.5</v>
      </c>
      <c r="D118" s="293">
        <v>36.5</v>
      </c>
      <c r="E118" s="292"/>
      <c r="F118" s="292">
        <v>36.5</v>
      </c>
      <c r="G118" s="293"/>
      <c r="H118" s="292">
        <v>36.85</v>
      </c>
      <c r="I118" s="292"/>
      <c r="J118" s="293"/>
      <c r="K118" s="293"/>
      <c r="L118" s="292"/>
      <c r="M118" s="292">
        <v>36.9</v>
      </c>
      <c r="N118" s="275"/>
      <c r="O118" s="292"/>
    </row>
    <row r="119" spans="1:15" ht="15">
      <c r="A119" s="154" t="s">
        <v>36</v>
      </c>
      <c r="B119" s="154"/>
      <c r="C119" s="294">
        <v>10</v>
      </c>
      <c r="D119" s="295">
        <v>10</v>
      </c>
      <c r="E119" s="295"/>
      <c r="F119" s="295">
        <v>10</v>
      </c>
      <c r="G119" s="295"/>
      <c r="H119" s="295">
        <v>11</v>
      </c>
      <c r="I119" s="295"/>
      <c r="J119" s="296"/>
      <c r="K119" s="296"/>
      <c r="L119" s="296"/>
      <c r="M119" s="296">
        <v>11</v>
      </c>
      <c r="N119" s="297"/>
      <c r="O119" s="296"/>
    </row>
    <row r="120" spans="1:15" ht="18.75">
      <c r="A120" s="298" t="s">
        <v>113</v>
      </c>
      <c r="B120" s="298"/>
      <c r="C120" s="299"/>
      <c r="D120" s="299"/>
      <c r="E120" s="299"/>
      <c r="F120" s="300"/>
      <c r="G120" s="300"/>
      <c r="H120" s="300"/>
      <c r="I120" s="300"/>
      <c r="J120" s="300"/>
      <c r="K120" s="300"/>
      <c r="L120" s="300"/>
      <c r="M120" s="300"/>
      <c r="N120" s="300"/>
      <c r="O120" s="300"/>
    </row>
    <row r="121" spans="1:3" ht="15.75">
      <c r="A121" s="301"/>
      <c r="B121" s="301"/>
      <c r="C121" s="301"/>
    </row>
    <row r="122" spans="1:15" ht="15.75">
      <c r="A122" s="301" t="s">
        <v>268</v>
      </c>
      <c r="B122" s="301"/>
      <c r="C122" s="301"/>
      <c r="G122" s="300"/>
      <c r="H122" s="300"/>
      <c r="I122" s="300"/>
      <c r="J122" s="300"/>
      <c r="K122" s="300"/>
      <c r="L122" s="300"/>
      <c r="M122" s="300"/>
      <c r="N122" s="300"/>
      <c r="O122" s="300"/>
    </row>
  </sheetData>
  <sheetProtection/>
  <mergeCells count="12">
    <mergeCell ref="G4:H4"/>
    <mergeCell ref="I4:I5"/>
    <mergeCell ref="J4:J5"/>
    <mergeCell ref="K4:K5"/>
    <mergeCell ref="L4:M4"/>
    <mergeCell ref="N4:O4"/>
    <mergeCell ref="A2:O2"/>
    <mergeCell ref="A4:A5"/>
    <mergeCell ref="C4:C5"/>
    <mergeCell ref="D4:D5"/>
    <mergeCell ref="E4:E5"/>
    <mergeCell ref="F4:F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H81" sqref="H81"/>
    </sheetView>
  </sheetViews>
  <sheetFormatPr defaultColWidth="9.00390625" defaultRowHeight="12.75"/>
  <cols>
    <col min="1" max="1" width="44.25390625" style="75" customWidth="1"/>
    <col min="2" max="2" width="13.375" style="75" customWidth="1"/>
    <col min="3" max="3" width="10.75390625" style="75" bestFit="1" customWidth="1"/>
    <col min="4" max="4" width="13.75390625" style="75" bestFit="1" customWidth="1"/>
    <col min="5" max="5" width="14.00390625" style="75" customWidth="1"/>
    <col min="6" max="6" width="15.875" style="75" customWidth="1"/>
    <col min="7" max="7" width="11.875" style="75" bestFit="1" customWidth="1"/>
    <col min="8" max="8" width="13.125" style="75" bestFit="1" customWidth="1"/>
    <col min="9" max="9" width="14.25390625" style="75" bestFit="1" customWidth="1"/>
    <col min="10" max="10" width="13.125" style="75" customWidth="1"/>
    <col min="11" max="11" width="10.75390625" style="75" bestFit="1" customWidth="1"/>
    <col min="12" max="12" width="16.00390625" style="75" bestFit="1" customWidth="1"/>
    <col min="13" max="13" width="10.75390625" style="75" bestFit="1" customWidth="1"/>
    <col min="14" max="16384" width="9.125" style="75" customWidth="1"/>
  </cols>
  <sheetData>
    <row r="1" spans="8:12" ht="14.25">
      <c r="H1" s="71"/>
      <c r="L1" s="71" t="s">
        <v>170</v>
      </c>
    </row>
    <row r="3" spans="1:13" ht="20.25">
      <c r="A3" s="364" t="s">
        <v>175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5" spans="1:13" ht="14.25" customHeight="1">
      <c r="A5" s="361"/>
      <c r="B5" s="365" t="s">
        <v>171</v>
      </c>
      <c r="C5" s="366"/>
      <c r="D5" s="366"/>
      <c r="E5" s="367"/>
      <c r="F5" s="371" t="s">
        <v>174</v>
      </c>
      <c r="G5" s="372"/>
      <c r="H5" s="372"/>
      <c r="I5" s="372"/>
      <c r="J5" s="372"/>
      <c r="K5" s="372"/>
      <c r="L5" s="372"/>
      <c r="M5" s="373"/>
    </row>
    <row r="6" spans="1:13" ht="17.25" customHeight="1">
      <c r="A6" s="362"/>
      <c r="B6" s="368"/>
      <c r="C6" s="369"/>
      <c r="D6" s="369"/>
      <c r="E6" s="370"/>
      <c r="F6" s="374" t="s">
        <v>172</v>
      </c>
      <c r="G6" s="375"/>
      <c r="H6" s="375"/>
      <c r="I6" s="376"/>
      <c r="J6" s="374" t="s">
        <v>173</v>
      </c>
      <c r="K6" s="375"/>
      <c r="L6" s="375"/>
      <c r="M6" s="376"/>
    </row>
    <row r="7" spans="1:13" ht="15">
      <c r="A7" s="363"/>
      <c r="B7" s="96" t="s">
        <v>169</v>
      </c>
      <c r="C7" s="91" t="s">
        <v>82</v>
      </c>
      <c r="D7" s="91" t="s">
        <v>83</v>
      </c>
      <c r="E7" s="92" t="s">
        <v>84</v>
      </c>
      <c r="F7" s="93" t="s">
        <v>169</v>
      </c>
      <c r="G7" s="91" t="s">
        <v>82</v>
      </c>
      <c r="H7" s="91" t="s">
        <v>83</v>
      </c>
      <c r="I7" s="92" t="s">
        <v>84</v>
      </c>
      <c r="J7" s="93" t="s">
        <v>169</v>
      </c>
      <c r="K7" s="91" t="s">
        <v>82</v>
      </c>
      <c r="L7" s="91" t="s">
        <v>83</v>
      </c>
      <c r="M7" s="92" t="s">
        <v>84</v>
      </c>
    </row>
    <row r="8" spans="1:13" s="77" customFormat="1" ht="15">
      <c r="A8" s="99" t="s">
        <v>146</v>
      </c>
      <c r="B8" s="114">
        <f>SUM(C8:E8)</f>
        <v>42180.96459</v>
      </c>
      <c r="C8" s="90">
        <f>C10+C11+C14+C15+C17+C13</f>
        <v>39.4772</v>
      </c>
      <c r="D8" s="90">
        <f>D10+D11+D14+D15+D17+D13</f>
        <v>4436.09753</v>
      </c>
      <c r="E8" s="90">
        <f>E10+E11+E14+E15+E17+E13</f>
        <v>37705.38986</v>
      </c>
      <c r="F8" s="118">
        <f aca="true" t="shared" si="0" ref="F8:F71">SUM(G8:I8)</f>
        <v>49990.635440000005</v>
      </c>
      <c r="G8" s="119">
        <f>G10+G11+G13+G17</f>
        <v>20.7</v>
      </c>
      <c r="H8" s="119">
        <f>H10+H11+H13+H17</f>
        <v>5441.7</v>
      </c>
      <c r="I8" s="119">
        <f>I10+I11+I13+I17</f>
        <v>44528.235440000004</v>
      </c>
      <c r="J8" s="118">
        <f>SUM(K8:M8)</f>
        <v>24906.08294</v>
      </c>
      <c r="K8" s="119">
        <f>K10+K11+K13+K17</f>
        <v>0</v>
      </c>
      <c r="L8" s="119">
        <f>L10+L11+L13+L17</f>
        <v>1751.92425</v>
      </c>
      <c r="M8" s="119">
        <f>M10+M11+M13+M17</f>
        <v>23154.15869</v>
      </c>
    </row>
    <row r="9" spans="1:13" s="79" customFormat="1" ht="14.25">
      <c r="A9" s="100" t="s">
        <v>159</v>
      </c>
      <c r="B9" s="97"/>
      <c r="C9" s="78"/>
      <c r="D9" s="78"/>
      <c r="E9" s="85"/>
      <c r="F9" s="94"/>
      <c r="G9" s="78"/>
      <c r="H9" s="78"/>
      <c r="I9" s="85"/>
      <c r="J9" s="94"/>
      <c r="K9" s="78"/>
      <c r="L9" s="78"/>
      <c r="M9" s="85"/>
    </row>
    <row r="10" spans="1:13" ht="14.25">
      <c r="A10" s="101" t="s">
        <v>161</v>
      </c>
      <c r="B10" s="97">
        <f aca="true" t="shared" si="1" ref="B10:B88">SUM(C10:E10)</f>
        <v>32386.15425</v>
      </c>
      <c r="C10" s="80">
        <v>0</v>
      </c>
      <c r="D10" s="80">
        <v>3261.83309</v>
      </c>
      <c r="E10" s="86">
        <v>29124.32116</v>
      </c>
      <c r="F10" s="94">
        <f t="shared" si="0"/>
        <v>38909.5369</v>
      </c>
      <c r="G10" s="80">
        <v>0</v>
      </c>
      <c r="H10" s="80">
        <v>4648.075</v>
      </c>
      <c r="I10" s="86">
        <v>34261.4619</v>
      </c>
      <c r="J10" s="94">
        <f aca="true" t="shared" si="2" ref="J10:J88">SUM(K10:M10)</f>
        <v>20586.62726</v>
      </c>
      <c r="K10" s="80">
        <v>0</v>
      </c>
      <c r="L10" s="80">
        <v>1202.84111</v>
      </c>
      <c r="M10" s="86">
        <v>19383.78615</v>
      </c>
    </row>
    <row r="11" spans="1:13" ht="14.25">
      <c r="A11" s="101" t="s">
        <v>162</v>
      </c>
      <c r="B11" s="97">
        <f t="shared" si="1"/>
        <v>8515.02814</v>
      </c>
      <c r="C11" s="80">
        <v>39.4772</v>
      </c>
      <c r="D11" s="80">
        <v>1174.26444</v>
      </c>
      <c r="E11" s="86">
        <v>7301.2865</v>
      </c>
      <c r="F11" s="94">
        <f t="shared" si="0"/>
        <v>8652.1141</v>
      </c>
      <c r="G11" s="80">
        <v>20.7</v>
      </c>
      <c r="H11" s="80">
        <v>793.625</v>
      </c>
      <c r="I11" s="86">
        <v>7837.7891</v>
      </c>
      <c r="J11" s="94">
        <f t="shared" si="2"/>
        <v>3744.22706</v>
      </c>
      <c r="K11" s="80">
        <v>0</v>
      </c>
      <c r="L11" s="80">
        <v>549.08314</v>
      </c>
      <c r="M11" s="86">
        <v>3195.14392</v>
      </c>
    </row>
    <row r="12" spans="1:13" s="79" customFormat="1" ht="14.25">
      <c r="A12" s="100" t="s">
        <v>160</v>
      </c>
      <c r="B12" s="97">
        <f t="shared" si="1"/>
        <v>0</v>
      </c>
      <c r="C12" s="78">
        <v>0</v>
      </c>
      <c r="D12" s="78">
        <v>0</v>
      </c>
      <c r="E12" s="85">
        <v>0</v>
      </c>
      <c r="F12" s="94">
        <f t="shared" si="0"/>
        <v>0</v>
      </c>
      <c r="G12" s="78">
        <v>0</v>
      </c>
      <c r="H12" s="78">
        <v>0</v>
      </c>
      <c r="I12" s="85">
        <v>0</v>
      </c>
      <c r="J12" s="94">
        <f t="shared" si="2"/>
        <v>0</v>
      </c>
      <c r="K12" s="78">
        <v>0</v>
      </c>
      <c r="L12" s="78">
        <v>0</v>
      </c>
      <c r="M12" s="85">
        <v>0</v>
      </c>
    </row>
    <row r="13" spans="1:13" ht="14.25">
      <c r="A13" s="101" t="s">
        <v>163</v>
      </c>
      <c r="B13" s="97">
        <f t="shared" si="1"/>
        <v>84.9</v>
      </c>
      <c r="C13" s="80">
        <v>0</v>
      </c>
      <c r="D13" s="80">
        <v>0</v>
      </c>
      <c r="E13" s="86">
        <v>84.9</v>
      </c>
      <c r="F13" s="94">
        <f t="shared" si="0"/>
        <v>209.2</v>
      </c>
      <c r="G13" s="80">
        <v>0</v>
      </c>
      <c r="H13" s="80">
        <v>0</v>
      </c>
      <c r="I13" s="86">
        <v>209.2</v>
      </c>
      <c r="J13" s="94">
        <f t="shared" si="2"/>
        <v>44.2</v>
      </c>
      <c r="K13" s="80">
        <v>0</v>
      </c>
      <c r="L13" s="80">
        <v>0</v>
      </c>
      <c r="M13" s="86">
        <v>44.2</v>
      </c>
    </row>
    <row r="14" spans="1:13" ht="14.25" hidden="1">
      <c r="A14" s="101" t="s">
        <v>164</v>
      </c>
      <c r="B14" s="97">
        <f t="shared" si="1"/>
        <v>0</v>
      </c>
      <c r="C14" s="80"/>
      <c r="D14" s="80"/>
      <c r="E14" s="86"/>
      <c r="F14" s="94">
        <f t="shared" si="0"/>
        <v>0</v>
      </c>
      <c r="G14" s="80"/>
      <c r="H14" s="80"/>
      <c r="I14" s="86"/>
      <c r="J14" s="94">
        <f t="shared" si="2"/>
        <v>0</v>
      </c>
      <c r="K14" s="80"/>
      <c r="L14" s="80"/>
      <c r="M14" s="86"/>
    </row>
    <row r="15" spans="1:13" ht="14.25" hidden="1">
      <c r="A15" s="101" t="s">
        <v>165</v>
      </c>
      <c r="B15" s="97">
        <f t="shared" si="1"/>
        <v>0</v>
      </c>
      <c r="C15" s="80"/>
      <c r="D15" s="80"/>
      <c r="E15" s="86"/>
      <c r="F15" s="94">
        <f t="shared" si="0"/>
        <v>0</v>
      </c>
      <c r="G15" s="80"/>
      <c r="H15" s="80"/>
      <c r="I15" s="86"/>
      <c r="J15" s="94">
        <f t="shared" si="2"/>
        <v>0</v>
      </c>
      <c r="K15" s="80"/>
      <c r="L15" s="80"/>
      <c r="M15" s="86"/>
    </row>
    <row r="16" spans="1:13" s="79" customFormat="1" ht="14.25" hidden="1">
      <c r="A16" s="100" t="s">
        <v>166</v>
      </c>
      <c r="B16" s="97">
        <f t="shared" si="1"/>
        <v>0</v>
      </c>
      <c r="C16" s="78"/>
      <c r="D16" s="78"/>
      <c r="E16" s="85"/>
      <c r="F16" s="94">
        <f t="shared" si="0"/>
        <v>0</v>
      </c>
      <c r="G16" s="78"/>
      <c r="H16" s="78"/>
      <c r="I16" s="85"/>
      <c r="J16" s="94">
        <f t="shared" si="2"/>
        <v>0</v>
      </c>
      <c r="K16" s="78"/>
      <c r="L16" s="78"/>
      <c r="M16" s="85"/>
    </row>
    <row r="17" spans="1:13" ht="14.25">
      <c r="A17" s="101" t="s">
        <v>168</v>
      </c>
      <c r="B17" s="97">
        <f t="shared" si="1"/>
        <v>1194.8822</v>
      </c>
      <c r="C17" s="80">
        <v>0</v>
      </c>
      <c r="D17" s="80">
        <v>0</v>
      </c>
      <c r="E17" s="86">
        <v>1194.8822</v>
      </c>
      <c r="F17" s="94">
        <f t="shared" si="0"/>
        <v>2219.78444</v>
      </c>
      <c r="G17" s="80">
        <v>0</v>
      </c>
      <c r="H17" s="80">
        <v>0</v>
      </c>
      <c r="I17" s="86">
        <v>2219.78444</v>
      </c>
      <c r="J17" s="94">
        <f t="shared" si="2"/>
        <v>531.02862</v>
      </c>
      <c r="K17" s="80">
        <v>0</v>
      </c>
      <c r="L17" s="80">
        <v>0</v>
      </c>
      <c r="M17" s="86">
        <v>531.02862</v>
      </c>
    </row>
    <row r="18" spans="1:13" ht="15">
      <c r="A18" s="111" t="s">
        <v>147</v>
      </c>
      <c r="B18" s="113">
        <f t="shared" si="1"/>
        <v>425.70495</v>
      </c>
      <c r="C18" s="117">
        <f>C20+C21</f>
        <v>425.70495</v>
      </c>
      <c r="D18" s="117">
        <f>D20+D21</f>
        <v>0</v>
      </c>
      <c r="E18" s="117">
        <f>E20+E21</f>
        <v>0</v>
      </c>
      <c r="F18" s="120">
        <f>SUM(G18:I18)</f>
        <v>480.5</v>
      </c>
      <c r="G18" s="117">
        <f>G20+G21</f>
        <v>480.5</v>
      </c>
      <c r="H18" s="117">
        <f>H20+H21</f>
        <v>0</v>
      </c>
      <c r="I18" s="117">
        <f>I20+I21</f>
        <v>0</v>
      </c>
      <c r="J18" s="120">
        <f t="shared" si="2"/>
        <v>248.38139</v>
      </c>
      <c r="K18" s="117">
        <f>K20+K21</f>
        <v>248.38139</v>
      </c>
      <c r="L18" s="117">
        <f>L20+L21</f>
        <v>0</v>
      </c>
      <c r="M18" s="117">
        <f>M20+M21</f>
        <v>0</v>
      </c>
    </row>
    <row r="19" spans="1:13" ht="14.25">
      <c r="A19" s="100" t="s">
        <v>159</v>
      </c>
      <c r="B19" s="97"/>
      <c r="C19" s="81"/>
      <c r="D19" s="81"/>
      <c r="E19" s="87"/>
      <c r="F19" s="94"/>
      <c r="G19" s="81"/>
      <c r="H19" s="81"/>
      <c r="I19" s="87"/>
      <c r="J19" s="121"/>
      <c r="K19" s="81"/>
      <c r="L19" s="81"/>
      <c r="M19" s="87"/>
    </row>
    <row r="20" spans="1:13" ht="14.25">
      <c r="A20" s="101" t="s">
        <v>161</v>
      </c>
      <c r="B20" s="97">
        <f>C20+D20+E20</f>
        <v>401</v>
      </c>
      <c r="C20" s="81">
        <v>401</v>
      </c>
      <c r="D20" s="81">
        <v>0</v>
      </c>
      <c r="E20" s="87">
        <v>0</v>
      </c>
      <c r="F20" s="94">
        <f t="shared" si="0"/>
        <v>458.94</v>
      </c>
      <c r="G20" s="81">
        <v>458.94</v>
      </c>
      <c r="H20" s="81">
        <v>0</v>
      </c>
      <c r="I20" s="87">
        <v>0</v>
      </c>
      <c r="J20" s="121">
        <f t="shared" si="2"/>
        <v>239.92138</v>
      </c>
      <c r="K20" s="81">
        <v>239.92138</v>
      </c>
      <c r="L20" s="81">
        <v>0</v>
      </c>
      <c r="M20" s="87">
        <v>0</v>
      </c>
    </row>
    <row r="21" spans="1:13" ht="14.25">
      <c r="A21" s="101" t="s">
        <v>162</v>
      </c>
      <c r="B21" s="97">
        <f>C21+D21+E21</f>
        <v>24.70495</v>
      </c>
      <c r="C21" s="81">
        <v>24.70495</v>
      </c>
      <c r="D21" s="81">
        <v>0</v>
      </c>
      <c r="E21" s="87">
        <v>0</v>
      </c>
      <c r="F21" s="94">
        <f t="shared" si="0"/>
        <v>21.56</v>
      </c>
      <c r="G21" s="81">
        <v>21.56</v>
      </c>
      <c r="H21" s="81">
        <v>0</v>
      </c>
      <c r="I21" s="87">
        <v>0</v>
      </c>
      <c r="J21" s="121">
        <f t="shared" si="2"/>
        <v>8.46001</v>
      </c>
      <c r="K21" s="81">
        <v>8.46001</v>
      </c>
      <c r="L21" s="81">
        <v>0</v>
      </c>
      <c r="M21" s="87">
        <v>0</v>
      </c>
    </row>
    <row r="22" spans="1:13" ht="14.25">
      <c r="A22" s="100" t="s">
        <v>160</v>
      </c>
      <c r="B22" s="97">
        <v>0</v>
      </c>
      <c r="C22" s="81">
        <v>0</v>
      </c>
      <c r="D22" s="81">
        <v>0</v>
      </c>
      <c r="E22" s="87">
        <v>0</v>
      </c>
      <c r="F22" s="94">
        <f t="shared" si="0"/>
        <v>0</v>
      </c>
      <c r="G22" s="81">
        <v>0</v>
      </c>
      <c r="H22" s="81">
        <v>0</v>
      </c>
      <c r="I22" s="87">
        <v>0</v>
      </c>
      <c r="J22" s="121">
        <f t="shared" si="2"/>
        <v>0</v>
      </c>
      <c r="K22" s="81">
        <v>0</v>
      </c>
      <c r="L22" s="81">
        <v>0</v>
      </c>
      <c r="M22" s="87">
        <v>0</v>
      </c>
    </row>
    <row r="23" spans="1:13" s="77" customFormat="1" ht="30">
      <c r="A23" s="102" t="s">
        <v>148</v>
      </c>
      <c r="B23" s="113">
        <f t="shared" si="1"/>
        <v>422.76467</v>
      </c>
      <c r="C23" s="76">
        <f>C26</f>
        <v>0</v>
      </c>
      <c r="D23" s="76">
        <f>D26</f>
        <v>0</v>
      </c>
      <c r="E23" s="76">
        <f>E26</f>
        <v>422.76467</v>
      </c>
      <c r="F23" s="120">
        <f t="shared" si="0"/>
        <v>1019.70089</v>
      </c>
      <c r="G23" s="76">
        <f>G26+G28</f>
        <v>0</v>
      </c>
      <c r="H23" s="76">
        <f>H26+H28</f>
        <v>0</v>
      </c>
      <c r="I23" s="76">
        <f>I26+I28</f>
        <v>1019.70089</v>
      </c>
      <c r="J23" s="120">
        <f t="shared" si="2"/>
        <v>223.88598</v>
      </c>
      <c r="K23" s="76">
        <f>K26+K28</f>
        <v>0</v>
      </c>
      <c r="L23" s="76">
        <f>L26+L28</f>
        <v>0</v>
      </c>
      <c r="M23" s="76">
        <f>M26+M28</f>
        <v>223.88598</v>
      </c>
    </row>
    <row r="24" spans="1:13" s="79" customFormat="1" ht="14.25">
      <c r="A24" s="100" t="s">
        <v>159</v>
      </c>
      <c r="B24" s="97"/>
      <c r="C24" s="78"/>
      <c r="D24" s="78"/>
      <c r="E24" s="85"/>
      <c r="F24" s="94"/>
      <c r="G24" s="78"/>
      <c r="H24" s="78"/>
      <c r="I24" s="85"/>
      <c r="J24" s="94"/>
      <c r="K24" s="78"/>
      <c r="L24" s="78"/>
      <c r="M24" s="85"/>
    </row>
    <row r="25" spans="1:13" s="79" customFormat="1" ht="14.25" hidden="1">
      <c r="A25" s="101" t="s">
        <v>161</v>
      </c>
      <c r="B25" s="97">
        <f>SUM(C25:E25)</f>
        <v>0</v>
      </c>
      <c r="C25" s="78"/>
      <c r="D25" s="78"/>
      <c r="E25" s="85"/>
      <c r="F25" s="94"/>
      <c r="G25" s="78"/>
      <c r="H25" s="78"/>
      <c r="I25" s="85"/>
      <c r="J25" s="94"/>
      <c r="K25" s="78"/>
      <c r="L25" s="78"/>
      <c r="M25" s="85"/>
    </row>
    <row r="26" spans="1:13" s="79" customFormat="1" ht="14.25">
      <c r="A26" s="101" t="s">
        <v>162</v>
      </c>
      <c r="B26" s="97">
        <f>SUM(C26:E26)</f>
        <v>422.76467</v>
      </c>
      <c r="C26" s="78">
        <v>0</v>
      </c>
      <c r="D26" s="78">
        <v>0</v>
      </c>
      <c r="E26" s="85">
        <v>422.76467</v>
      </c>
      <c r="F26" s="94">
        <f aca="true" t="shared" si="3" ref="F26:F31">G26+H26+I26</f>
        <v>869.70089</v>
      </c>
      <c r="G26" s="78">
        <v>0</v>
      </c>
      <c r="H26" s="78">
        <v>0</v>
      </c>
      <c r="I26" s="85">
        <v>869.70089</v>
      </c>
      <c r="J26" s="94">
        <f>K26+L26+M26</f>
        <v>223.88598</v>
      </c>
      <c r="K26" s="78">
        <v>0</v>
      </c>
      <c r="L26" s="78">
        <v>0</v>
      </c>
      <c r="M26" s="85">
        <v>223.88598</v>
      </c>
    </row>
    <row r="27" spans="1:13" s="79" customFormat="1" ht="14.25">
      <c r="A27" s="100" t="s">
        <v>160</v>
      </c>
      <c r="B27" s="97">
        <f>SUM(C27:E27)</f>
        <v>0</v>
      </c>
      <c r="C27" s="78">
        <v>0</v>
      </c>
      <c r="D27" s="78">
        <v>0</v>
      </c>
      <c r="E27" s="85">
        <v>0</v>
      </c>
      <c r="F27" s="94">
        <f t="shared" si="3"/>
        <v>0</v>
      </c>
      <c r="G27" s="78">
        <v>0</v>
      </c>
      <c r="H27" s="78">
        <v>0</v>
      </c>
      <c r="I27" s="85">
        <v>0</v>
      </c>
      <c r="J27" s="94">
        <f>K27+L27+M27</f>
        <v>0</v>
      </c>
      <c r="K27" s="78">
        <v>0</v>
      </c>
      <c r="L27" s="78">
        <v>0</v>
      </c>
      <c r="M27" s="85">
        <v>0</v>
      </c>
    </row>
    <row r="28" spans="1:13" s="79" customFormat="1" ht="14.25">
      <c r="A28" s="101" t="s">
        <v>168</v>
      </c>
      <c r="B28" s="97">
        <f>SUM(C28:E28)</f>
        <v>0</v>
      </c>
      <c r="C28" s="78">
        <v>0</v>
      </c>
      <c r="D28" s="78">
        <v>0</v>
      </c>
      <c r="E28" s="85">
        <v>0</v>
      </c>
      <c r="F28" s="94">
        <f t="shared" si="3"/>
        <v>150</v>
      </c>
      <c r="G28" s="78">
        <v>0</v>
      </c>
      <c r="H28" s="78">
        <v>0</v>
      </c>
      <c r="I28" s="85">
        <v>150</v>
      </c>
      <c r="J28" s="94">
        <f>K28+L28+M28</f>
        <v>0</v>
      </c>
      <c r="K28" s="78">
        <v>0</v>
      </c>
      <c r="L28" s="78">
        <v>0</v>
      </c>
      <c r="M28" s="85">
        <v>0</v>
      </c>
    </row>
    <row r="29" spans="1:13" s="79" customFormat="1" ht="14.25" hidden="1">
      <c r="A29" s="101"/>
      <c r="B29" s="97">
        <f>SUM(C29:E29)</f>
        <v>0</v>
      </c>
      <c r="C29" s="78"/>
      <c r="D29" s="78"/>
      <c r="E29" s="85"/>
      <c r="F29" s="94">
        <f t="shared" si="3"/>
        <v>0</v>
      </c>
      <c r="G29" s="78"/>
      <c r="H29" s="78"/>
      <c r="I29" s="85"/>
      <c r="J29" s="94">
        <f>K29+L29+M29</f>
        <v>0</v>
      </c>
      <c r="K29" s="78"/>
      <c r="L29" s="78"/>
      <c r="M29" s="85"/>
    </row>
    <row r="30" spans="1:13" ht="14.25" hidden="1">
      <c r="A30" s="101" t="s">
        <v>168</v>
      </c>
      <c r="B30" s="97">
        <f t="shared" si="1"/>
        <v>0</v>
      </c>
      <c r="C30" s="80"/>
      <c r="D30" s="80"/>
      <c r="E30" s="86"/>
      <c r="F30" s="94">
        <f t="shared" si="3"/>
        <v>0</v>
      </c>
      <c r="G30" s="80"/>
      <c r="H30" s="80"/>
      <c r="I30" s="86"/>
      <c r="J30" s="94">
        <f>K30+L30+M30</f>
        <v>0</v>
      </c>
      <c r="K30" s="80"/>
      <c r="L30" s="80"/>
      <c r="M30" s="86"/>
    </row>
    <row r="31" spans="1:13" s="77" customFormat="1" ht="15">
      <c r="A31" s="102" t="s">
        <v>149</v>
      </c>
      <c r="B31" s="113">
        <f t="shared" si="1"/>
        <v>11374.35125</v>
      </c>
      <c r="C31" s="76">
        <f>C33+C34+C36+C37</f>
        <v>0</v>
      </c>
      <c r="D31" s="76">
        <f>D33+D34+D36+D37</f>
        <v>5996.369290000001</v>
      </c>
      <c r="E31" s="76">
        <f>E33+E34+E36+E37</f>
        <v>5377.98196</v>
      </c>
      <c r="F31" s="120">
        <f t="shared" si="3"/>
        <v>14816.27216</v>
      </c>
      <c r="G31" s="76">
        <f>G33+G34+G36+G37</f>
        <v>0</v>
      </c>
      <c r="H31" s="76">
        <f>H33+H34+H36+H37</f>
        <v>5773.38649</v>
      </c>
      <c r="I31" s="76">
        <f>I33+I34+I36+I37</f>
        <v>9042.88567</v>
      </c>
      <c r="J31" s="120">
        <f t="shared" si="2"/>
        <v>3335.46946</v>
      </c>
      <c r="K31" s="122">
        <f>K33+K34+K36+K37</f>
        <v>0</v>
      </c>
      <c r="L31" s="122">
        <f>L33+L34+L36+L37</f>
        <v>172.54657</v>
      </c>
      <c r="M31" s="122">
        <f>M33+M34+M36+M37</f>
        <v>3162.92289</v>
      </c>
    </row>
    <row r="32" spans="1:13" s="79" customFormat="1" ht="14.25">
      <c r="A32" s="100" t="s">
        <v>159</v>
      </c>
      <c r="B32" s="97"/>
      <c r="C32" s="78"/>
      <c r="D32" s="78"/>
      <c r="E32" s="85"/>
      <c r="F32" s="94"/>
      <c r="G32" s="78"/>
      <c r="H32" s="78"/>
      <c r="I32" s="85"/>
      <c r="J32" s="94"/>
      <c r="K32" s="78"/>
      <c r="L32" s="78"/>
      <c r="M32" s="78"/>
    </row>
    <row r="33" spans="1:13" s="79" customFormat="1" ht="14.25">
      <c r="A33" s="101" t="s">
        <v>161</v>
      </c>
      <c r="B33" s="97">
        <f>SUM(C33:E33)</f>
        <v>143.58524</v>
      </c>
      <c r="C33" s="78">
        <v>0</v>
      </c>
      <c r="D33" s="78">
        <v>143.58524</v>
      </c>
      <c r="E33" s="85">
        <v>0</v>
      </c>
      <c r="F33" s="94">
        <f t="shared" si="0"/>
        <v>165.795</v>
      </c>
      <c r="G33" s="78">
        <v>0</v>
      </c>
      <c r="H33" s="78">
        <v>165.795</v>
      </c>
      <c r="I33" s="85">
        <v>0</v>
      </c>
      <c r="J33" s="94">
        <f>SUM(K33:M33)</f>
        <v>67.25484</v>
      </c>
      <c r="K33" s="78">
        <v>0</v>
      </c>
      <c r="L33" s="78">
        <v>67.25484</v>
      </c>
      <c r="M33" s="85">
        <v>0</v>
      </c>
    </row>
    <row r="34" spans="1:13" s="79" customFormat="1" ht="14.25">
      <c r="A34" s="101" t="s">
        <v>162</v>
      </c>
      <c r="B34" s="97">
        <f>SUM(C34:E34)</f>
        <v>10701.40703</v>
      </c>
      <c r="C34" s="78">
        <v>0</v>
      </c>
      <c r="D34" s="78">
        <v>5357.14302</v>
      </c>
      <c r="E34" s="85">
        <v>5344.26401</v>
      </c>
      <c r="F34" s="94">
        <f t="shared" si="0"/>
        <v>13954.89067</v>
      </c>
      <c r="G34" s="78">
        <v>0</v>
      </c>
      <c r="H34" s="78">
        <v>5007.005</v>
      </c>
      <c r="I34" s="85">
        <v>8947.88567</v>
      </c>
      <c r="J34" s="94">
        <f>SUM(K34:M34)</f>
        <v>3268.2146199999997</v>
      </c>
      <c r="K34" s="78">
        <v>0</v>
      </c>
      <c r="L34" s="78">
        <v>105.29173</v>
      </c>
      <c r="M34" s="85">
        <v>3162.92289</v>
      </c>
    </row>
    <row r="35" spans="1:13" s="79" customFormat="1" ht="14.25">
      <c r="A35" s="100" t="s">
        <v>160</v>
      </c>
      <c r="B35" s="97">
        <f>SUM(C35:E35)</f>
        <v>3</v>
      </c>
      <c r="C35" s="78">
        <v>0</v>
      </c>
      <c r="D35" s="78">
        <v>0</v>
      </c>
      <c r="E35" s="85">
        <v>3</v>
      </c>
      <c r="F35" s="94">
        <f t="shared" si="0"/>
        <v>0</v>
      </c>
      <c r="G35" s="78">
        <v>0</v>
      </c>
      <c r="H35" s="78">
        <v>0</v>
      </c>
      <c r="I35" s="85">
        <v>0</v>
      </c>
      <c r="J35" s="94">
        <f>SUM(K35:M35)</f>
        <v>0</v>
      </c>
      <c r="K35" s="78">
        <v>0</v>
      </c>
      <c r="L35" s="78">
        <v>0</v>
      </c>
      <c r="M35" s="85">
        <v>0</v>
      </c>
    </row>
    <row r="36" spans="1:13" ht="14.25">
      <c r="A36" s="101" t="s">
        <v>163</v>
      </c>
      <c r="B36" s="97">
        <f t="shared" si="1"/>
        <v>15</v>
      </c>
      <c r="C36" s="80">
        <v>0</v>
      </c>
      <c r="D36" s="80">
        <v>0</v>
      </c>
      <c r="E36" s="86">
        <v>15</v>
      </c>
      <c r="F36" s="94">
        <f t="shared" si="0"/>
        <v>20</v>
      </c>
      <c r="G36" s="80">
        <v>0</v>
      </c>
      <c r="H36" s="80">
        <v>0</v>
      </c>
      <c r="I36" s="86">
        <v>20</v>
      </c>
      <c r="J36" s="94">
        <f t="shared" si="2"/>
        <v>0</v>
      </c>
      <c r="K36" s="80">
        <v>0</v>
      </c>
      <c r="L36" s="80">
        <v>0</v>
      </c>
      <c r="M36" s="86">
        <v>0</v>
      </c>
    </row>
    <row r="37" spans="1:13" ht="14.25">
      <c r="A37" s="101" t="s">
        <v>168</v>
      </c>
      <c r="B37" s="97">
        <f t="shared" si="1"/>
        <v>514.35898</v>
      </c>
      <c r="C37" s="80">
        <v>0</v>
      </c>
      <c r="D37" s="80">
        <v>495.64103</v>
      </c>
      <c r="E37" s="86">
        <v>18.71795</v>
      </c>
      <c r="F37" s="94">
        <f t="shared" si="0"/>
        <v>675.58649</v>
      </c>
      <c r="G37" s="80">
        <v>0</v>
      </c>
      <c r="H37" s="80">
        <v>600.58649</v>
      </c>
      <c r="I37" s="86">
        <v>75</v>
      </c>
      <c r="J37" s="94">
        <f t="shared" si="2"/>
        <v>0</v>
      </c>
      <c r="K37" s="80">
        <v>0</v>
      </c>
      <c r="L37" s="80">
        <v>0</v>
      </c>
      <c r="M37" s="86">
        <v>0</v>
      </c>
    </row>
    <row r="38" spans="1:13" s="77" customFormat="1" ht="15">
      <c r="A38" s="102" t="s">
        <v>150</v>
      </c>
      <c r="B38" s="113">
        <f t="shared" si="1"/>
        <v>23723.91323</v>
      </c>
      <c r="C38" s="76">
        <f>C40+C41+C44</f>
        <v>10729.17283</v>
      </c>
      <c r="D38" s="76">
        <f>D40+D41+D44</f>
        <v>4736.23008</v>
      </c>
      <c r="E38" s="76">
        <f>E40+E41+E44</f>
        <v>8258.51032</v>
      </c>
      <c r="F38" s="94">
        <f t="shared" si="0"/>
        <v>26197.72108</v>
      </c>
      <c r="G38" s="76">
        <f>G40+G41+G43+G44</f>
        <v>7505.28273</v>
      </c>
      <c r="H38" s="76">
        <f>H40+H41+H43+H44</f>
        <v>2755.10215</v>
      </c>
      <c r="I38" s="76">
        <f>I40+I41+I43+I44</f>
        <v>15937.3362</v>
      </c>
      <c r="J38" s="120">
        <f t="shared" si="2"/>
        <v>8108.363985</v>
      </c>
      <c r="K38" s="76">
        <f>K40+K41+K43+K44</f>
        <v>2206.347735</v>
      </c>
      <c r="L38" s="76">
        <f>L40+L41+L43+L44</f>
        <v>957.3973700000001</v>
      </c>
      <c r="M38" s="76">
        <f>M40+M41+M43+M44</f>
        <v>4944.61888</v>
      </c>
    </row>
    <row r="39" spans="1:13" s="79" customFormat="1" ht="15">
      <c r="A39" s="100" t="s">
        <v>159</v>
      </c>
      <c r="B39" s="97"/>
      <c r="C39" s="78"/>
      <c r="D39" s="78"/>
      <c r="E39" s="85"/>
      <c r="F39" s="94"/>
      <c r="G39" s="76"/>
      <c r="H39" s="78"/>
      <c r="I39" s="85"/>
      <c r="J39" s="94"/>
      <c r="K39" s="78"/>
      <c r="L39" s="78"/>
      <c r="M39" s="85"/>
    </row>
    <row r="40" spans="1:13" s="79" customFormat="1" ht="14.25">
      <c r="A40" s="101" t="s">
        <v>161</v>
      </c>
      <c r="B40" s="97">
        <f>SUM(C40:E40)</f>
        <v>1144.66746</v>
      </c>
      <c r="C40" s="78">
        <v>0</v>
      </c>
      <c r="D40" s="78">
        <v>0</v>
      </c>
      <c r="E40" s="85">
        <v>1144.66746</v>
      </c>
      <c r="F40" s="94">
        <f t="shared" si="0"/>
        <v>1662.19696</v>
      </c>
      <c r="G40" s="123">
        <v>0</v>
      </c>
      <c r="H40" s="78">
        <v>0</v>
      </c>
      <c r="I40" s="85">
        <v>1662.19696</v>
      </c>
      <c r="J40" s="94">
        <f t="shared" si="2"/>
        <v>883.7111</v>
      </c>
      <c r="K40" s="78">
        <v>0</v>
      </c>
      <c r="L40" s="78">
        <v>0</v>
      </c>
      <c r="M40" s="85">
        <v>883.7111</v>
      </c>
    </row>
    <row r="41" spans="1:13" s="79" customFormat="1" ht="14.25">
      <c r="A41" s="101" t="s">
        <v>162</v>
      </c>
      <c r="B41" s="97">
        <f>SUM(C41:E41)</f>
        <v>21540.74127</v>
      </c>
      <c r="C41" s="78">
        <v>10729.17283</v>
      </c>
      <c r="D41" s="78">
        <v>4736.23008</v>
      </c>
      <c r="E41" s="85">
        <v>6075.33836</v>
      </c>
      <c r="F41" s="94">
        <f t="shared" si="0"/>
        <v>22328.56701</v>
      </c>
      <c r="G41" s="78">
        <v>7505.28273</v>
      </c>
      <c r="H41" s="78">
        <v>2132.12383</v>
      </c>
      <c r="I41" s="85">
        <v>12691.16045</v>
      </c>
      <c r="J41" s="94">
        <f t="shared" si="2"/>
        <v>6507.679335</v>
      </c>
      <c r="K41" s="78">
        <v>2206.347735</v>
      </c>
      <c r="L41" s="78">
        <v>334.41905</v>
      </c>
      <c r="M41" s="85">
        <v>3966.91255</v>
      </c>
    </row>
    <row r="42" spans="1:13" ht="14.25">
      <c r="A42" s="100" t="s">
        <v>160</v>
      </c>
      <c r="B42" s="97">
        <f>SUM(C42:E42)</f>
        <v>4150.16831</v>
      </c>
      <c r="C42" s="80"/>
      <c r="D42" s="80">
        <v>3054.4</v>
      </c>
      <c r="E42" s="86">
        <v>1095.76831</v>
      </c>
      <c r="F42" s="94">
        <f t="shared" si="0"/>
        <v>2200.52645</v>
      </c>
      <c r="G42" s="80">
        <v>0</v>
      </c>
      <c r="H42" s="80">
        <v>904.02168</v>
      </c>
      <c r="I42" s="86">
        <v>1296.50477</v>
      </c>
      <c r="J42" s="94">
        <f t="shared" si="2"/>
        <v>308.38308</v>
      </c>
      <c r="K42" s="80">
        <v>0</v>
      </c>
      <c r="L42" s="80">
        <v>266.1815</v>
      </c>
      <c r="M42" s="86">
        <v>42.20158</v>
      </c>
    </row>
    <row r="43" spans="1:13" ht="14.25">
      <c r="A43" s="101" t="s">
        <v>165</v>
      </c>
      <c r="B43" s="97">
        <f>SUM(C43:E43)</f>
        <v>0</v>
      </c>
      <c r="C43" s="80">
        <v>0</v>
      </c>
      <c r="D43" s="80">
        <v>0</v>
      </c>
      <c r="E43" s="86">
        <v>0</v>
      </c>
      <c r="F43" s="94">
        <f t="shared" si="0"/>
        <v>716.97355</v>
      </c>
      <c r="G43" s="80">
        <v>0</v>
      </c>
      <c r="H43" s="80">
        <v>622.97832</v>
      </c>
      <c r="I43" s="86">
        <v>93.99523</v>
      </c>
      <c r="J43" s="94">
        <f t="shared" si="2"/>
        <v>716.97355</v>
      </c>
      <c r="K43" s="80">
        <v>0</v>
      </c>
      <c r="L43" s="80">
        <v>622.97832</v>
      </c>
      <c r="M43" s="86">
        <v>93.99523</v>
      </c>
    </row>
    <row r="44" spans="1:13" ht="14.25">
      <c r="A44" s="101" t="s">
        <v>168</v>
      </c>
      <c r="B44" s="97">
        <f t="shared" si="1"/>
        <v>1038.5045</v>
      </c>
      <c r="C44" s="80">
        <v>0</v>
      </c>
      <c r="D44" s="80">
        <v>0</v>
      </c>
      <c r="E44" s="86">
        <v>1038.5045</v>
      </c>
      <c r="F44" s="94">
        <f t="shared" si="0"/>
        <v>1489.98356</v>
      </c>
      <c r="G44" s="80">
        <v>0</v>
      </c>
      <c r="H44" s="80">
        <v>0</v>
      </c>
      <c r="I44" s="86">
        <v>1489.98356</v>
      </c>
      <c r="J44" s="94">
        <f t="shared" si="2"/>
        <v>0</v>
      </c>
      <c r="K44" s="80">
        <v>0</v>
      </c>
      <c r="L44" s="80">
        <v>0</v>
      </c>
      <c r="M44" s="86">
        <v>0</v>
      </c>
    </row>
    <row r="45" spans="1:13" s="77" customFormat="1" ht="15">
      <c r="A45" s="102" t="s">
        <v>151</v>
      </c>
      <c r="B45" s="113">
        <f t="shared" si="1"/>
        <v>110.8848</v>
      </c>
      <c r="C45" s="76">
        <f>C47</f>
        <v>0</v>
      </c>
      <c r="D45" s="76">
        <f>D47</f>
        <v>0</v>
      </c>
      <c r="E45" s="76">
        <f>E47</f>
        <v>110.8848</v>
      </c>
      <c r="F45" s="120">
        <f t="shared" si="0"/>
        <v>671</v>
      </c>
      <c r="G45" s="76">
        <f>G47</f>
        <v>0</v>
      </c>
      <c r="H45" s="76">
        <f>H47</f>
        <v>0</v>
      </c>
      <c r="I45" s="76">
        <f>I47</f>
        <v>671</v>
      </c>
      <c r="J45" s="120">
        <f t="shared" si="2"/>
        <v>0</v>
      </c>
      <c r="K45" s="76">
        <f>K47</f>
        <v>0</v>
      </c>
      <c r="L45" s="76">
        <f>L47</f>
        <v>0</v>
      </c>
      <c r="M45" s="76">
        <f>M47</f>
        <v>0</v>
      </c>
    </row>
    <row r="46" spans="1:13" s="79" customFormat="1" ht="14.25">
      <c r="A46" s="100" t="s">
        <v>159</v>
      </c>
      <c r="B46" s="97"/>
      <c r="C46" s="78"/>
      <c r="D46" s="78"/>
      <c r="E46" s="85"/>
      <c r="F46" s="94">
        <f t="shared" si="0"/>
        <v>0</v>
      </c>
      <c r="G46" s="78"/>
      <c r="H46" s="78"/>
      <c r="I46" s="85"/>
      <c r="J46" s="94">
        <f t="shared" si="2"/>
        <v>0</v>
      </c>
      <c r="K46" s="78"/>
      <c r="L46" s="78"/>
      <c r="M46" s="85"/>
    </row>
    <row r="47" spans="1:13" ht="14.25">
      <c r="A47" s="101" t="s">
        <v>162</v>
      </c>
      <c r="B47" s="97">
        <f t="shared" si="1"/>
        <v>110.8848</v>
      </c>
      <c r="C47" s="80">
        <v>0</v>
      </c>
      <c r="D47" s="80">
        <v>0</v>
      </c>
      <c r="E47" s="86">
        <v>110.8848</v>
      </c>
      <c r="F47" s="94">
        <f t="shared" si="0"/>
        <v>671</v>
      </c>
      <c r="G47" s="80">
        <v>0</v>
      </c>
      <c r="H47" s="80">
        <v>0</v>
      </c>
      <c r="I47" s="86">
        <v>671</v>
      </c>
      <c r="J47" s="94">
        <f t="shared" si="2"/>
        <v>0</v>
      </c>
      <c r="K47" s="80">
        <v>0</v>
      </c>
      <c r="L47" s="80">
        <v>0</v>
      </c>
      <c r="M47" s="86">
        <v>0</v>
      </c>
    </row>
    <row r="48" spans="1:13" s="77" customFormat="1" ht="15">
      <c r="A48" s="102" t="s">
        <v>152</v>
      </c>
      <c r="B48" s="113">
        <f t="shared" si="1"/>
        <v>113554.49789</v>
      </c>
      <c r="C48" s="76">
        <f>C50+C51+C53+C54+C55+C57</f>
        <v>7599.53303</v>
      </c>
      <c r="D48" s="76">
        <f>D50+D51+D53+D54+D55+D57</f>
        <v>70419.66889999999</v>
      </c>
      <c r="E48" s="76">
        <f>E50+E51+E53+E54+E55+E57</f>
        <v>35535.29596</v>
      </c>
      <c r="F48" s="120">
        <f t="shared" si="0"/>
        <v>243178.75837000003</v>
      </c>
      <c r="G48" s="76">
        <f>G50+G51+G53+G55+G57</f>
        <v>107105.25789</v>
      </c>
      <c r="H48" s="76">
        <f>H50+H51+H53+H55+H57</f>
        <v>100581.40713</v>
      </c>
      <c r="I48" s="76">
        <f>I50+I51+I53+I55+I57</f>
        <v>35492.09335</v>
      </c>
      <c r="J48" s="120">
        <f t="shared" si="2"/>
        <v>112577.57359999999</v>
      </c>
      <c r="K48" s="76">
        <f>K50+K51+K53+K55+K57</f>
        <v>42880.373289999996</v>
      </c>
      <c r="L48" s="76">
        <f>L50+L51+L53+L55+L57</f>
        <v>49254.305459999996</v>
      </c>
      <c r="M48" s="76">
        <f>M50+M51+M53+M55+M57</f>
        <v>20442.89485</v>
      </c>
    </row>
    <row r="49" spans="1:13" s="79" customFormat="1" ht="14.25">
      <c r="A49" s="100" t="s">
        <v>159</v>
      </c>
      <c r="B49" s="97"/>
      <c r="F49" s="94"/>
      <c r="G49" s="78"/>
      <c r="H49" s="78"/>
      <c r="I49" s="85"/>
      <c r="J49" s="94"/>
      <c r="K49" s="78"/>
      <c r="L49" s="78"/>
      <c r="M49" s="85"/>
    </row>
    <row r="50" spans="1:13" s="79" customFormat="1" ht="14.25">
      <c r="A50" s="101" t="s">
        <v>161</v>
      </c>
      <c r="B50" s="97">
        <f t="shared" si="1"/>
        <v>57038.55267</v>
      </c>
      <c r="C50" s="78">
        <v>2912.60207</v>
      </c>
      <c r="D50" s="78">
        <v>42791.66441</v>
      </c>
      <c r="E50" s="85">
        <v>11334.28619</v>
      </c>
      <c r="F50" s="94">
        <f t="shared" si="0"/>
        <v>61566.811910000004</v>
      </c>
      <c r="G50" s="78">
        <v>2968.56</v>
      </c>
      <c r="H50" s="78">
        <v>45244.4858</v>
      </c>
      <c r="I50" s="85">
        <v>13353.76611</v>
      </c>
      <c r="J50" s="94">
        <f aca="true" t="shared" si="4" ref="J50:J55">SUM(K50:M50)</f>
        <v>36944.07419</v>
      </c>
      <c r="K50" s="78">
        <v>1954.63748</v>
      </c>
      <c r="L50" s="78">
        <v>27328.86775</v>
      </c>
      <c r="M50" s="85">
        <v>7660.56896</v>
      </c>
    </row>
    <row r="51" spans="1:13" s="79" customFormat="1" ht="14.25">
      <c r="A51" s="101" t="s">
        <v>162</v>
      </c>
      <c r="B51" s="97">
        <f t="shared" si="1"/>
        <v>26583.70732</v>
      </c>
      <c r="C51" s="78">
        <v>2667.14495</v>
      </c>
      <c r="D51" s="78">
        <v>8075.47755</v>
      </c>
      <c r="E51" s="85">
        <v>15841.08482</v>
      </c>
      <c r="F51" s="94">
        <f t="shared" si="0"/>
        <v>148937.61283</v>
      </c>
      <c r="G51" s="78">
        <v>102091.27861</v>
      </c>
      <c r="H51" s="78">
        <v>32491.03915</v>
      </c>
      <c r="I51" s="85">
        <v>14355.29507</v>
      </c>
      <c r="J51" s="94">
        <f t="shared" si="4"/>
        <v>54345.96608</v>
      </c>
      <c r="K51" s="78">
        <v>39575.42467</v>
      </c>
      <c r="L51" s="78">
        <v>7894.41401</v>
      </c>
      <c r="M51" s="85">
        <v>6876.1274</v>
      </c>
    </row>
    <row r="52" spans="1:13" s="79" customFormat="1" ht="14.25">
      <c r="A52" s="100" t="s">
        <v>160</v>
      </c>
      <c r="B52" s="97">
        <f t="shared" si="1"/>
        <v>9414.499189999999</v>
      </c>
      <c r="C52" s="78">
        <v>0</v>
      </c>
      <c r="D52" s="78">
        <v>2854.82741</v>
      </c>
      <c r="E52" s="85">
        <v>6559.67178</v>
      </c>
      <c r="F52" s="94">
        <f t="shared" si="0"/>
        <v>123209.46072</v>
      </c>
      <c r="G52" s="78">
        <v>92595.1</v>
      </c>
      <c r="H52" s="78">
        <v>26903.54413</v>
      </c>
      <c r="I52" s="85">
        <v>3710.81659</v>
      </c>
      <c r="J52" s="94">
        <f t="shared" si="4"/>
        <v>40617.80938</v>
      </c>
      <c r="K52" s="78">
        <v>34122.08102</v>
      </c>
      <c r="L52" s="78">
        <v>5099.25277</v>
      </c>
      <c r="M52" s="85">
        <v>1396.47559</v>
      </c>
    </row>
    <row r="53" spans="1:13" s="79" customFormat="1" ht="14.25">
      <c r="A53" s="101" t="s">
        <v>163</v>
      </c>
      <c r="B53" s="97">
        <f t="shared" si="1"/>
        <v>98.612</v>
      </c>
      <c r="C53" s="78">
        <v>0</v>
      </c>
      <c r="D53" s="78">
        <v>98.612</v>
      </c>
      <c r="E53" s="85">
        <v>0</v>
      </c>
      <c r="F53" s="94">
        <f>SUM(H53:I53)</f>
        <v>0</v>
      </c>
      <c r="G53" s="78">
        <v>0</v>
      </c>
      <c r="H53" s="78">
        <v>0</v>
      </c>
      <c r="I53" s="85">
        <v>0</v>
      </c>
      <c r="J53" s="94">
        <f t="shared" si="4"/>
        <v>0</v>
      </c>
      <c r="K53" s="78">
        <v>0</v>
      </c>
      <c r="L53" s="78">
        <v>0</v>
      </c>
      <c r="M53" s="85">
        <v>0</v>
      </c>
    </row>
    <row r="54" spans="1:13" s="79" customFormat="1" ht="14.25" customHeight="1" hidden="1">
      <c r="A54" s="101" t="s">
        <v>164</v>
      </c>
      <c r="B54" s="97">
        <f t="shared" si="1"/>
        <v>0</v>
      </c>
      <c r="C54" s="78">
        <v>0</v>
      </c>
      <c r="D54" s="78">
        <v>0</v>
      </c>
      <c r="E54" s="85">
        <v>0</v>
      </c>
      <c r="F54" s="94">
        <f t="shared" si="0"/>
        <v>0</v>
      </c>
      <c r="G54" s="78"/>
      <c r="H54" s="78"/>
      <c r="I54" s="85"/>
      <c r="J54" s="94">
        <f t="shared" si="4"/>
        <v>0</v>
      </c>
      <c r="K54" s="78"/>
      <c r="L54" s="78"/>
      <c r="M54" s="85"/>
    </row>
    <row r="55" spans="1:13" s="79" customFormat="1" ht="14.25">
      <c r="A55" s="101" t="s">
        <v>165</v>
      </c>
      <c r="B55" s="97">
        <f t="shared" si="1"/>
        <v>29503.73662</v>
      </c>
      <c r="C55" s="78">
        <v>2019.78601</v>
      </c>
      <c r="D55" s="78">
        <v>19453.91494</v>
      </c>
      <c r="E55" s="85">
        <v>8030.03567</v>
      </c>
      <c r="F55" s="94">
        <f t="shared" si="0"/>
        <v>32423.449060000003</v>
      </c>
      <c r="G55" s="78">
        <v>2045.41928</v>
      </c>
      <c r="H55" s="78">
        <v>22845.88218</v>
      </c>
      <c r="I55" s="85">
        <v>7532.1476</v>
      </c>
      <c r="J55" s="94">
        <f t="shared" si="4"/>
        <v>21040.98233</v>
      </c>
      <c r="K55" s="78">
        <v>1350.31114</v>
      </c>
      <c r="L55" s="78">
        <v>14031.0237</v>
      </c>
      <c r="M55" s="85">
        <v>5659.64749</v>
      </c>
    </row>
    <row r="56" spans="1:13" ht="14.25">
      <c r="A56" s="112" t="s">
        <v>166</v>
      </c>
      <c r="B56" s="97">
        <f t="shared" si="1"/>
        <v>20201.16592</v>
      </c>
      <c r="C56" s="80">
        <v>0</v>
      </c>
      <c r="D56" s="80">
        <v>14072.1</v>
      </c>
      <c r="E56" s="86">
        <v>6129.06592</v>
      </c>
      <c r="F56" s="94">
        <f t="shared" si="0"/>
        <v>22468.52575</v>
      </c>
      <c r="G56" s="78">
        <v>0</v>
      </c>
      <c r="H56" s="78">
        <v>16637.99705</v>
      </c>
      <c r="I56" s="85">
        <v>5830.5287</v>
      </c>
      <c r="J56" s="94">
        <f t="shared" si="2"/>
        <v>15679.91167</v>
      </c>
      <c r="K56" s="78">
        <v>0</v>
      </c>
      <c r="L56" s="78">
        <v>11653.9</v>
      </c>
      <c r="M56" s="85">
        <v>4026.01167</v>
      </c>
    </row>
    <row r="57" spans="1:13" ht="14.25">
      <c r="A57" s="101" t="s">
        <v>168</v>
      </c>
      <c r="B57" s="97">
        <f t="shared" si="1"/>
        <v>329.88928</v>
      </c>
      <c r="C57" s="80">
        <v>0</v>
      </c>
      <c r="D57" s="80">
        <v>0</v>
      </c>
      <c r="E57" s="86">
        <v>329.88928</v>
      </c>
      <c r="F57" s="94">
        <f t="shared" si="0"/>
        <v>250.88457</v>
      </c>
      <c r="G57" s="78">
        <v>0</v>
      </c>
      <c r="H57" s="78">
        <v>0</v>
      </c>
      <c r="I57" s="85">
        <v>250.88457</v>
      </c>
      <c r="J57" s="94">
        <f t="shared" si="2"/>
        <v>246.551</v>
      </c>
      <c r="K57" s="78">
        <v>0</v>
      </c>
      <c r="L57" s="78">
        <v>0</v>
      </c>
      <c r="M57" s="85">
        <v>246.551</v>
      </c>
    </row>
    <row r="58" spans="1:13" s="77" customFormat="1" ht="15">
      <c r="A58" s="102" t="s">
        <v>153</v>
      </c>
      <c r="B58" s="113">
        <f t="shared" si="1"/>
        <v>22154.20254</v>
      </c>
      <c r="C58" s="76">
        <f>C60+C61+C63</f>
        <v>26.02012</v>
      </c>
      <c r="D58" s="76">
        <f>D60+D61+D63</f>
        <v>7561.51314</v>
      </c>
      <c r="E58" s="76">
        <f>E60+E61+E63</f>
        <v>14566.66928</v>
      </c>
      <c r="F58" s="120">
        <f t="shared" si="0"/>
        <v>24552.40443</v>
      </c>
      <c r="G58" s="76">
        <f>G60+G61+G63</f>
        <v>280.96861</v>
      </c>
      <c r="H58" s="76">
        <f>H60+H61+H63</f>
        <v>8540.58382</v>
      </c>
      <c r="I58" s="76">
        <f>I60+I61+I63</f>
        <v>15730.851999999999</v>
      </c>
      <c r="J58" s="120">
        <f t="shared" si="2"/>
        <v>15078.777450000001</v>
      </c>
      <c r="K58" s="76">
        <f>K60+K61+K63</f>
        <v>280.96861</v>
      </c>
      <c r="L58" s="76">
        <f>L60+L61+L63</f>
        <v>3780.70348</v>
      </c>
      <c r="M58" s="76">
        <f>M60+M61+M63</f>
        <v>11017.105360000001</v>
      </c>
    </row>
    <row r="59" spans="1:13" s="79" customFormat="1" ht="14.25">
      <c r="A59" s="100" t="s">
        <v>159</v>
      </c>
      <c r="B59" s="97">
        <f t="shared" si="1"/>
        <v>0</v>
      </c>
      <c r="C59" s="78"/>
      <c r="D59" s="78"/>
      <c r="E59" s="85"/>
      <c r="F59" s="94"/>
      <c r="G59" s="78"/>
      <c r="H59" s="78"/>
      <c r="I59" s="85"/>
      <c r="J59" s="94"/>
      <c r="K59" s="78"/>
      <c r="L59" s="78"/>
      <c r="M59" s="85"/>
    </row>
    <row r="60" spans="1:13" s="79" customFormat="1" ht="14.25">
      <c r="A60" s="101" t="s">
        <v>161</v>
      </c>
      <c r="B60" s="97">
        <f t="shared" si="1"/>
        <v>17869.6349</v>
      </c>
      <c r="C60" s="78">
        <v>0</v>
      </c>
      <c r="D60" s="78">
        <v>7526.18372</v>
      </c>
      <c r="E60" s="85">
        <v>10343.45118</v>
      </c>
      <c r="F60" s="94">
        <f t="shared" si="0"/>
        <v>19200.166839999998</v>
      </c>
      <c r="G60" s="78">
        <v>0</v>
      </c>
      <c r="H60" s="78">
        <v>8498.6</v>
      </c>
      <c r="I60" s="85">
        <v>10701.56684</v>
      </c>
      <c r="J60" s="94">
        <f t="shared" si="2"/>
        <v>11772.43384</v>
      </c>
      <c r="K60" s="78">
        <v>0</v>
      </c>
      <c r="L60" s="78">
        <v>3738.71966</v>
      </c>
      <c r="M60" s="85">
        <v>8033.71418</v>
      </c>
    </row>
    <row r="61" spans="1:13" s="79" customFormat="1" ht="14.25">
      <c r="A61" s="101" t="s">
        <v>162</v>
      </c>
      <c r="B61" s="97">
        <f t="shared" si="1"/>
        <v>4210.82752</v>
      </c>
      <c r="C61" s="78">
        <v>26.02012</v>
      </c>
      <c r="D61" s="78">
        <v>35.32942</v>
      </c>
      <c r="E61" s="85">
        <v>4149.47798</v>
      </c>
      <c r="F61" s="94">
        <f t="shared" si="0"/>
        <v>5274.237590000001</v>
      </c>
      <c r="G61" s="78">
        <v>280.96861</v>
      </c>
      <c r="H61" s="78">
        <v>41.98382</v>
      </c>
      <c r="I61" s="85">
        <v>4951.28516</v>
      </c>
      <c r="J61" s="94">
        <f t="shared" si="2"/>
        <v>3261.65584</v>
      </c>
      <c r="K61" s="78">
        <v>280.96861</v>
      </c>
      <c r="L61" s="78">
        <v>41.98382</v>
      </c>
      <c r="M61" s="85">
        <v>2938.70341</v>
      </c>
    </row>
    <row r="62" spans="1:13" ht="14.25">
      <c r="A62" s="100" t="s">
        <v>160</v>
      </c>
      <c r="B62" s="97">
        <f t="shared" si="1"/>
        <v>0</v>
      </c>
      <c r="C62" s="80">
        <v>0</v>
      </c>
      <c r="D62" s="80">
        <v>0</v>
      </c>
      <c r="E62" s="86">
        <v>0</v>
      </c>
      <c r="F62" s="94">
        <f t="shared" si="0"/>
        <v>0</v>
      </c>
      <c r="G62" s="80">
        <v>0</v>
      </c>
      <c r="H62" s="80">
        <v>0</v>
      </c>
      <c r="I62" s="86">
        <v>0</v>
      </c>
      <c r="J62" s="94">
        <f t="shared" si="2"/>
        <v>0</v>
      </c>
      <c r="K62" s="78">
        <v>0</v>
      </c>
      <c r="L62" s="78">
        <v>0</v>
      </c>
      <c r="M62" s="85">
        <v>0</v>
      </c>
    </row>
    <row r="63" spans="1:13" ht="14.25">
      <c r="A63" s="101" t="s">
        <v>168</v>
      </c>
      <c r="B63" s="97">
        <f t="shared" si="1"/>
        <v>73.74012</v>
      </c>
      <c r="C63" s="80">
        <v>0</v>
      </c>
      <c r="D63" s="80">
        <v>0</v>
      </c>
      <c r="E63" s="86">
        <v>73.74012</v>
      </c>
      <c r="F63" s="94">
        <f t="shared" si="0"/>
        <v>78</v>
      </c>
      <c r="G63" s="80">
        <v>0</v>
      </c>
      <c r="H63" s="80">
        <v>0</v>
      </c>
      <c r="I63" s="86">
        <v>78</v>
      </c>
      <c r="J63" s="94">
        <f t="shared" si="2"/>
        <v>44.68777</v>
      </c>
      <c r="K63" s="80">
        <v>0</v>
      </c>
      <c r="L63" s="80">
        <v>0</v>
      </c>
      <c r="M63" s="86">
        <v>44.68777</v>
      </c>
    </row>
    <row r="64" spans="1:13" s="77" customFormat="1" ht="15" hidden="1">
      <c r="A64" s="102" t="s">
        <v>154</v>
      </c>
      <c r="B64" s="97">
        <f t="shared" si="1"/>
        <v>0</v>
      </c>
      <c r="C64" s="76"/>
      <c r="D64" s="76"/>
      <c r="E64" s="84"/>
      <c r="F64" s="94">
        <f t="shared" si="0"/>
        <v>0</v>
      </c>
      <c r="G64" s="76"/>
      <c r="H64" s="76"/>
      <c r="I64" s="84"/>
      <c r="J64" s="94">
        <f t="shared" si="2"/>
        <v>0</v>
      </c>
      <c r="K64" s="76"/>
      <c r="L64" s="76"/>
      <c r="M64" s="84"/>
    </row>
    <row r="65" spans="1:13" s="79" customFormat="1" ht="14.25" hidden="1">
      <c r="A65" s="100" t="s">
        <v>159</v>
      </c>
      <c r="B65" s="97">
        <f t="shared" si="1"/>
        <v>0</v>
      </c>
      <c r="C65" s="78"/>
      <c r="D65" s="78"/>
      <c r="E65" s="85"/>
      <c r="F65" s="94">
        <f t="shared" si="0"/>
        <v>0</v>
      </c>
      <c r="G65" s="78"/>
      <c r="H65" s="78"/>
      <c r="I65" s="85"/>
      <c r="J65" s="94">
        <f t="shared" si="2"/>
        <v>0</v>
      </c>
      <c r="K65" s="78"/>
      <c r="L65" s="78"/>
      <c r="M65" s="85"/>
    </row>
    <row r="66" spans="1:13" ht="14.25" hidden="1">
      <c r="A66" s="101" t="s">
        <v>69</v>
      </c>
      <c r="B66" s="97">
        <f t="shared" si="1"/>
        <v>0</v>
      </c>
      <c r="C66" s="80"/>
      <c r="D66" s="80"/>
      <c r="E66" s="86"/>
      <c r="F66" s="94">
        <f t="shared" si="0"/>
        <v>0</v>
      </c>
      <c r="G66" s="80"/>
      <c r="H66" s="80"/>
      <c r="I66" s="86"/>
      <c r="J66" s="94">
        <f t="shared" si="2"/>
        <v>0</v>
      </c>
      <c r="K66" s="80"/>
      <c r="L66" s="80"/>
      <c r="M66" s="86"/>
    </row>
    <row r="67" spans="1:13" ht="14.25" hidden="1">
      <c r="A67" s="101" t="s">
        <v>69</v>
      </c>
      <c r="B67" s="97">
        <f t="shared" si="1"/>
        <v>0</v>
      </c>
      <c r="C67" s="80"/>
      <c r="D67" s="80"/>
      <c r="E67" s="86"/>
      <c r="F67" s="94">
        <f t="shared" si="0"/>
        <v>0</v>
      </c>
      <c r="G67" s="80"/>
      <c r="H67" s="80"/>
      <c r="I67" s="86"/>
      <c r="J67" s="94">
        <f t="shared" si="2"/>
        <v>0</v>
      </c>
      <c r="K67" s="80"/>
      <c r="L67" s="80"/>
      <c r="M67" s="86"/>
    </row>
    <row r="68" spans="1:13" s="77" customFormat="1" ht="15">
      <c r="A68" s="102" t="s">
        <v>155</v>
      </c>
      <c r="B68" s="113">
        <f t="shared" si="1"/>
        <v>2715.72077</v>
      </c>
      <c r="C68" s="76">
        <f>C70+C72+C73</f>
        <v>0</v>
      </c>
      <c r="D68" s="76">
        <f>D70+D72+D73</f>
        <v>2701.13184</v>
      </c>
      <c r="E68" s="76">
        <f>E70+E72+E73</f>
        <v>14.58893</v>
      </c>
      <c r="F68" s="120">
        <f t="shared" si="0"/>
        <v>4039.9</v>
      </c>
      <c r="G68" s="76">
        <f>G70+G72+G73</f>
        <v>0</v>
      </c>
      <c r="H68" s="76">
        <f>H70+H72+H73</f>
        <v>2914.9</v>
      </c>
      <c r="I68" s="76">
        <f>I70+I72+I73</f>
        <v>1125</v>
      </c>
      <c r="J68" s="120">
        <f t="shared" si="2"/>
        <v>2135.46368</v>
      </c>
      <c r="K68" s="122">
        <f>K70+K72+K73</f>
        <v>0</v>
      </c>
      <c r="L68" s="122">
        <f>L70+L72+L73</f>
        <v>1485.92368</v>
      </c>
      <c r="M68" s="122">
        <f>M70+M72+M73</f>
        <v>649.54</v>
      </c>
    </row>
    <row r="69" spans="1:13" s="79" customFormat="1" ht="14.25">
      <c r="A69" s="100" t="s">
        <v>159</v>
      </c>
      <c r="B69" s="97">
        <f t="shared" si="1"/>
        <v>0</v>
      </c>
      <c r="C69" s="78"/>
      <c r="D69" s="78"/>
      <c r="E69" s="85"/>
      <c r="F69" s="94"/>
      <c r="G69" s="78"/>
      <c r="H69" s="78"/>
      <c r="I69" s="85"/>
      <c r="J69" s="94"/>
      <c r="K69" s="78"/>
      <c r="L69" s="78"/>
      <c r="M69" s="85"/>
    </row>
    <row r="70" spans="1:13" s="79" customFormat="1" ht="14.25">
      <c r="A70" s="101" t="s">
        <v>162</v>
      </c>
      <c r="B70" s="97">
        <f t="shared" si="1"/>
        <v>10.192</v>
      </c>
      <c r="C70" s="78"/>
      <c r="D70" s="78">
        <v>10.192</v>
      </c>
      <c r="E70" s="85">
        <v>0</v>
      </c>
      <c r="F70" s="94">
        <f t="shared" si="0"/>
        <v>13</v>
      </c>
      <c r="G70" s="78">
        <v>0</v>
      </c>
      <c r="H70" s="78">
        <v>13</v>
      </c>
      <c r="I70" s="85">
        <v>0</v>
      </c>
      <c r="J70" s="94">
        <f t="shared" si="2"/>
        <v>4.4317</v>
      </c>
      <c r="K70" s="78">
        <v>0</v>
      </c>
      <c r="L70" s="78">
        <v>4.4317</v>
      </c>
      <c r="M70" s="85">
        <v>0</v>
      </c>
    </row>
    <row r="71" spans="1:13" s="79" customFormat="1" ht="14.25">
      <c r="A71" s="100" t="s">
        <v>160</v>
      </c>
      <c r="B71" s="97">
        <f t="shared" si="1"/>
        <v>0</v>
      </c>
      <c r="C71" s="78"/>
      <c r="D71" s="78"/>
      <c r="E71" s="85"/>
      <c r="F71" s="94">
        <f t="shared" si="0"/>
        <v>0</v>
      </c>
      <c r="G71" s="78">
        <v>0</v>
      </c>
      <c r="H71" s="78">
        <v>0</v>
      </c>
      <c r="I71" s="85">
        <v>0</v>
      </c>
      <c r="J71" s="94">
        <f t="shared" si="2"/>
        <v>0</v>
      </c>
      <c r="K71" s="78">
        <v>0</v>
      </c>
      <c r="L71" s="78">
        <v>0</v>
      </c>
      <c r="M71" s="85">
        <v>0</v>
      </c>
    </row>
    <row r="72" spans="1:13" ht="14.25">
      <c r="A72" s="101" t="s">
        <v>163</v>
      </c>
      <c r="B72" s="97">
        <f t="shared" si="1"/>
        <v>2408.3621</v>
      </c>
      <c r="C72" s="80">
        <v>0</v>
      </c>
      <c r="D72" s="80">
        <v>2393.77317</v>
      </c>
      <c r="E72" s="86">
        <v>14.58893</v>
      </c>
      <c r="F72" s="94">
        <f aca="true" t="shared" si="5" ref="F72:F78">SUM(G72:I72)</f>
        <v>3721.1</v>
      </c>
      <c r="G72" s="80">
        <v>0</v>
      </c>
      <c r="H72" s="80">
        <v>2596.1</v>
      </c>
      <c r="I72" s="86">
        <v>1125</v>
      </c>
      <c r="J72" s="94">
        <f t="shared" si="2"/>
        <v>1833.14098</v>
      </c>
      <c r="K72" s="80">
        <v>0</v>
      </c>
      <c r="L72" s="80">
        <v>1183.60098</v>
      </c>
      <c r="M72" s="86">
        <v>649.54</v>
      </c>
    </row>
    <row r="73" spans="1:13" ht="14.25">
      <c r="A73" s="101" t="s">
        <v>164</v>
      </c>
      <c r="B73" s="97">
        <f t="shared" si="1"/>
        <v>297.16667</v>
      </c>
      <c r="C73" s="80">
        <v>0</v>
      </c>
      <c r="D73" s="80">
        <v>297.16667</v>
      </c>
      <c r="E73" s="86">
        <v>0</v>
      </c>
      <c r="F73" s="94">
        <f t="shared" si="5"/>
        <v>305.8</v>
      </c>
      <c r="G73" s="80">
        <v>0</v>
      </c>
      <c r="H73" s="80">
        <v>305.8</v>
      </c>
      <c r="I73" s="86">
        <v>0</v>
      </c>
      <c r="J73" s="94">
        <f t="shared" si="2"/>
        <v>297.891</v>
      </c>
      <c r="K73" s="80">
        <v>0</v>
      </c>
      <c r="L73" s="80">
        <v>297.891</v>
      </c>
      <c r="M73" s="86">
        <v>0</v>
      </c>
    </row>
    <row r="74" spans="1:13" s="77" customFormat="1" ht="15">
      <c r="A74" s="102" t="s">
        <v>156</v>
      </c>
      <c r="B74" s="113">
        <f t="shared" si="1"/>
        <v>2308.00369</v>
      </c>
      <c r="C74" s="76">
        <f>C76+C77</f>
        <v>0</v>
      </c>
      <c r="D74" s="76">
        <f>D76+D77</f>
        <v>799.7387799999999</v>
      </c>
      <c r="E74" s="76">
        <f>E76+E77</f>
        <v>1508.26491</v>
      </c>
      <c r="F74" s="120">
        <f t="shared" si="5"/>
        <v>3709.86064</v>
      </c>
      <c r="G74" s="76">
        <f>G76+G77</f>
        <v>0</v>
      </c>
      <c r="H74" s="76">
        <f>H76+H77</f>
        <v>915</v>
      </c>
      <c r="I74" s="76">
        <f>I76+I77</f>
        <v>2794.86064</v>
      </c>
      <c r="J74" s="120">
        <f t="shared" si="2"/>
        <v>1709.44728</v>
      </c>
      <c r="K74" s="76">
        <f>K76+K77</f>
        <v>0</v>
      </c>
      <c r="L74" s="76">
        <f>L76+L77</f>
        <v>662.28837</v>
      </c>
      <c r="M74" s="76">
        <f>M76+M77</f>
        <v>1047.15891</v>
      </c>
    </row>
    <row r="75" spans="1:13" s="79" customFormat="1" ht="14.25">
      <c r="A75" s="100" t="s">
        <v>159</v>
      </c>
      <c r="B75" s="97">
        <f t="shared" si="1"/>
        <v>0</v>
      </c>
      <c r="C75" s="78"/>
      <c r="D75" s="78"/>
      <c r="E75" s="85"/>
      <c r="F75" s="94"/>
      <c r="G75" s="78"/>
      <c r="H75" s="78"/>
      <c r="I75" s="85"/>
      <c r="J75" s="94"/>
      <c r="K75" s="78"/>
      <c r="L75" s="78"/>
      <c r="M75" s="85"/>
    </row>
    <row r="76" spans="1:13" s="79" customFormat="1" ht="14.25">
      <c r="A76" s="101" t="s">
        <v>161</v>
      </c>
      <c r="B76" s="97">
        <f t="shared" si="1"/>
        <v>1158.38206</v>
      </c>
      <c r="C76" s="78"/>
      <c r="D76" s="78">
        <v>466.53878</v>
      </c>
      <c r="E76" s="85">
        <v>691.84328</v>
      </c>
      <c r="F76" s="94">
        <f t="shared" si="5"/>
        <v>1367.06464</v>
      </c>
      <c r="G76" s="78">
        <v>0</v>
      </c>
      <c r="H76" s="78">
        <v>512.9</v>
      </c>
      <c r="I76" s="85">
        <v>854.16464</v>
      </c>
      <c r="J76" s="94">
        <f t="shared" si="2"/>
        <v>794.52178</v>
      </c>
      <c r="K76" s="78">
        <v>0</v>
      </c>
      <c r="L76" s="78">
        <v>288.28837</v>
      </c>
      <c r="M76" s="85">
        <v>506.23341</v>
      </c>
    </row>
    <row r="77" spans="1:13" ht="14.25">
      <c r="A77" s="101" t="s">
        <v>162</v>
      </c>
      <c r="B77" s="97">
        <f t="shared" si="1"/>
        <v>1149.62163</v>
      </c>
      <c r="C77" s="80"/>
      <c r="D77" s="80">
        <v>333.2</v>
      </c>
      <c r="E77" s="86">
        <v>816.42163</v>
      </c>
      <c r="F77" s="94">
        <f t="shared" si="5"/>
        <v>2342.796</v>
      </c>
      <c r="G77" s="80">
        <v>0</v>
      </c>
      <c r="H77" s="80">
        <v>402.1</v>
      </c>
      <c r="I77" s="86">
        <v>1940.696</v>
      </c>
      <c r="J77" s="94">
        <f t="shared" si="2"/>
        <v>914.9255</v>
      </c>
      <c r="K77" s="80">
        <v>0</v>
      </c>
      <c r="L77" s="80">
        <v>374</v>
      </c>
      <c r="M77" s="86">
        <v>540.9255</v>
      </c>
    </row>
    <row r="78" spans="1:13" ht="14.25">
      <c r="A78" s="100" t="s">
        <v>160</v>
      </c>
      <c r="B78" s="97">
        <f t="shared" si="1"/>
        <v>0</v>
      </c>
      <c r="C78" s="80">
        <v>0</v>
      </c>
      <c r="D78" s="80">
        <v>0</v>
      </c>
      <c r="E78" s="86">
        <v>0</v>
      </c>
      <c r="F78" s="94">
        <f t="shared" si="5"/>
        <v>0</v>
      </c>
      <c r="G78" s="80">
        <v>0</v>
      </c>
      <c r="H78" s="80"/>
      <c r="I78" s="86"/>
      <c r="J78" s="94">
        <f t="shared" si="2"/>
        <v>0</v>
      </c>
      <c r="K78" s="80">
        <v>0</v>
      </c>
      <c r="L78" s="80"/>
      <c r="M78" s="86"/>
    </row>
    <row r="79" spans="1:13" s="77" customFormat="1" ht="15">
      <c r="A79" s="102" t="s">
        <v>157</v>
      </c>
      <c r="B79" s="113">
        <f t="shared" si="1"/>
        <v>755.3147</v>
      </c>
      <c r="C79" s="76">
        <f>C81+C82</f>
        <v>0</v>
      </c>
      <c r="D79" s="76">
        <f>D81+D82</f>
        <v>0</v>
      </c>
      <c r="E79" s="76">
        <f>E81+E82</f>
        <v>755.3147</v>
      </c>
      <c r="F79" s="94">
        <f>SUM(G79:I79)</f>
        <v>942.3355300000001</v>
      </c>
      <c r="G79" s="76">
        <f>G81+G82</f>
        <v>0</v>
      </c>
      <c r="H79" s="76">
        <f>H81+H82</f>
        <v>50</v>
      </c>
      <c r="I79" s="76">
        <f>I81+I82</f>
        <v>892.3355300000001</v>
      </c>
      <c r="J79" s="94">
        <f t="shared" si="2"/>
        <v>585.48713</v>
      </c>
      <c r="K79" s="76">
        <f>K81+K82</f>
        <v>0</v>
      </c>
      <c r="L79" s="76">
        <f>L81+L82</f>
        <v>50</v>
      </c>
      <c r="M79" s="76">
        <f>M81+M82</f>
        <v>535.48713</v>
      </c>
    </row>
    <row r="80" spans="1:13" s="79" customFormat="1" ht="15">
      <c r="A80" s="100" t="s">
        <v>159</v>
      </c>
      <c r="B80" s="113"/>
      <c r="C80" s="115"/>
      <c r="D80" s="115"/>
      <c r="E80" s="115"/>
      <c r="F80" s="94"/>
      <c r="G80" s="78"/>
      <c r="H80" s="78"/>
      <c r="I80" s="85"/>
      <c r="J80" s="94"/>
      <c r="K80" s="78"/>
      <c r="L80" s="78"/>
      <c r="M80" s="85"/>
    </row>
    <row r="81" spans="1:13" s="79" customFormat="1" ht="14.25">
      <c r="A81" s="101" t="s">
        <v>161</v>
      </c>
      <c r="B81" s="97">
        <v>0</v>
      </c>
      <c r="C81" s="78">
        <v>0</v>
      </c>
      <c r="D81" s="78">
        <v>0</v>
      </c>
      <c r="E81" s="85">
        <v>435.99531</v>
      </c>
      <c r="F81" s="94">
        <f aca="true" t="shared" si="6" ref="F81:F88">SUM(G81:I81)</f>
        <v>476.53553</v>
      </c>
      <c r="G81" s="78">
        <v>0</v>
      </c>
      <c r="H81" s="78">
        <v>0</v>
      </c>
      <c r="I81" s="85">
        <v>476.53553</v>
      </c>
      <c r="J81" s="94">
        <f>SUM(K81:M81)</f>
        <v>258.56597</v>
      </c>
      <c r="K81" s="78">
        <v>0</v>
      </c>
      <c r="L81" s="78">
        <v>0</v>
      </c>
      <c r="M81" s="85">
        <v>258.56597</v>
      </c>
    </row>
    <row r="82" spans="1:13" ht="14.25">
      <c r="A82" s="101" t="s">
        <v>162</v>
      </c>
      <c r="B82" s="97">
        <f t="shared" si="1"/>
        <v>319.31939</v>
      </c>
      <c r="C82" s="80">
        <v>0</v>
      </c>
      <c r="D82" s="80">
        <v>0</v>
      </c>
      <c r="E82" s="86">
        <v>319.31939</v>
      </c>
      <c r="F82" s="94">
        <f t="shared" si="6"/>
        <v>465.8</v>
      </c>
      <c r="G82" s="80">
        <v>0</v>
      </c>
      <c r="H82" s="80">
        <v>50</v>
      </c>
      <c r="I82" s="86">
        <f>465.8-50</f>
        <v>415.8</v>
      </c>
      <c r="J82" s="94">
        <f t="shared" si="2"/>
        <v>326.92116</v>
      </c>
      <c r="K82" s="80">
        <v>0</v>
      </c>
      <c r="L82" s="80">
        <v>50</v>
      </c>
      <c r="M82" s="86">
        <f>326.92116-50</f>
        <v>276.92116</v>
      </c>
    </row>
    <row r="83" spans="1:13" ht="14.25">
      <c r="A83" s="100" t="s">
        <v>160</v>
      </c>
      <c r="B83" s="97">
        <f t="shared" si="1"/>
        <v>0</v>
      </c>
      <c r="C83" s="80"/>
      <c r="D83" s="80"/>
      <c r="E83" s="86"/>
      <c r="F83" s="94">
        <f t="shared" si="6"/>
        <v>0</v>
      </c>
      <c r="G83" s="80"/>
      <c r="H83" s="80"/>
      <c r="I83" s="86"/>
      <c r="J83" s="94">
        <f t="shared" si="2"/>
        <v>0</v>
      </c>
      <c r="K83" s="80"/>
      <c r="L83" s="80"/>
      <c r="M83" s="86"/>
    </row>
    <row r="84" spans="1:13" s="77" customFormat="1" ht="30" hidden="1">
      <c r="A84" s="102" t="s">
        <v>158</v>
      </c>
      <c r="B84" s="97">
        <f t="shared" si="1"/>
        <v>0</v>
      </c>
      <c r="C84" s="76"/>
      <c r="D84" s="76"/>
      <c r="E84" s="84"/>
      <c r="F84" s="94">
        <f t="shared" si="6"/>
        <v>0</v>
      </c>
      <c r="G84" s="76"/>
      <c r="H84" s="76"/>
      <c r="I84" s="84"/>
      <c r="J84" s="94">
        <f t="shared" si="2"/>
        <v>0</v>
      </c>
      <c r="K84" s="76"/>
      <c r="L84" s="76"/>
      <c r="M84" s="84"/>
    </row>
    <row r="85" spans="1:13" s="79" customFormat="1" ht="14.25" hidden="1">
      <c r="A85" s="100" t="s">
        <v>159</v>
      </c>
      <c r="B85" s="97">
        <f t="shared" si="1"/>
        <v>0</v>
      </c>
      <c r="C85" s="78"/>
      <c r="D85" s="78"/>
      <c r="E85" s="85"/>
      <c r="F85" s="94">
        <f t="shared" si="6"/>
        <v>0</v>
      </c>
      <c r="G85" s="78"/>
      <c r="H85" s="78"/>
      <c r="I85" s="85"/>
      <c r="J85" s="94">
        <f t="shared" si="2"/>
        <v>0</v>
      </c>
      <c r="K85" s="78"/>
      <c r="L85" s="78"/>
      <c r="M85" s="85"/>
    </row>
    <row r="86" spans="1:13" ht="14.25" hidden="1">
      <c r="A86" s="101" t="s">
        <v>167</v>
      </c>
      <c r="B86" s="97">
        <f t="shared" si="1"/>
        <v>0</v>
      </c>
      <c r="C86" s="80"/>
      <c r="D86" s="80"/>
      <c r="E86" s="86"/>
      <c r="F86" s="94">
        <f t="shared" si="6"/>
        <v>0</v>
      </c>
      <c r="G86" s="80"/>
      <c r="H86" s="80"/>
      <c r="I86" s="86"/>
      <c r="J86" s="94">
        <f t="shared" si="2"/>
        <v>0</v>
      </c>
      <c r="K86" s="80"/>
      <c r="L86" s="80"/>
      <c r="M86" s="86"/>
    </row>
    <row r="87" spans="1:13" ht="14.25" hidden="1">
      <c r="A87" s="103"/>
      <c r="B87" s="98">
        <f t="shared" si="1"/>
        <v>0</v>
      </c>
      <c r="C87" s="82"/>
      <c r="D87" s="82"/>
      <c r="E87" s="88"/>
      <c r="F87" s="95">
        <f t="shared" si="6"/>
        <v>0</v>
      </c>
      <c r="G87" s="82"/>
      <c r="H87" s="82"/>
      <c r="I87" s="88"/>
      <c r="J87" s="95">
        <f t="shared" si="2"/>
        <v>0</v>
      </c>
      <c r="K87" s="82"/>
      <c r="L87" s="82"/>
      <c r="M87" s="88"/>
    </row>
    <row r="88" spans="1:13" s="77" customFormat="1" ht="15">
      <c r="A88" s="83" t="s">
        <v>106</v>
      </c>
      <c r="B88" s="116">
        <f t="shared" si="1"/>
        <v>219726.32308</v>
      </c>
      <c r="C88" s="89">
        <f>C8+C18+C23+C31+C38+C45+C48+C58+C68+C74+C79</f>
        <v>18819.90813</v>
      </c>
      <c r="D88" s="89">
        <f>D8+D18+D23+D31+D38+D45+D48+D58+D68+D74+D79</f>
        <v>96650.74956</v>
      </c>
      <c r="E88" s="89">
        <f>E8+E18+E23+E31+E38+E45+E48+E58+E68+E74+E79</f>
        <v>104255.66539</v>
      </c>
      <c r="F88" s="124">
        <f t="shared" si="6"/>
        <v>369599.08854</v>
      </c>
      <c r="G88" s="89">
        <f>G8+G18+G23+G31+G38+G45+G48+G58+G68+G74+G79</f>
        <v>115392.70923</v>
      </c>
      <c r="H88" s="126">
        <f>H8+H18+H23+H31+H38+H45+H48+H58+H68+H74+H79</f>
        <v>126972.07959000001</v>
      </c>
      <c r="I88" s="126">
        <f>I8+I18+I23+I31+I38+I45+I48+I58+I68+I74+I79</f>
        <v>127234.29972000001</v>
      </c>
      <c r="J88" s="124">
        <f t="shared" si="2"/>
        <v>168908.93289499998</v>
      </c>
      <c r="K88" s="89">
        <f>K8+K18+K23+K31+K38+K48+K58+K68+K74+K79</f>
        <v>45616.071025</v>
      </c>
      <c r="L88" s="89">
        <f>L8+L18+L23+L31+L38+L48+L58+L68+L74+L79</f>
        <v>58115.089179999995</v>
      </c>
      <c r="M88" s="89">
        <f>M8+M18+M23+M31+M38+M48+M58+M68+M74+M79</f>
        <v>65177.77269</v>
      </c>
    </row>
    <row r="90" spans="8:9" ht="12.75">
      <c r="H90" s="125"/>
      <c r="I90" s="125"/>
    </row>
  </sheetData>
  <sheetProtection/>
  <mergeCells count="6">
    <mergeCell ref="A5:A7"/>
    <mergeCell ref="A3:M3"/>
    <mergeCell ref="B5:E6"/>
    <mergeCell ref="F5:M5"/>
    <mergeCell ref="F6:I6"/>
    <mergeCell ref="J6:M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2023-11-14T07:31:33Z</cp:lastPrinted>
  <dcterms:created xsi:type="dcterms:W3CDTF">2009-02-10T04:49:18Z</dcterms:created>
  <dcterms:modified xsi:type="dcterms:W3CDTF">2023-11-14T07:31:40Z</dcterms:modified>
  <cp:category/>
  <cp:version/>
  <cp:contentType/>
  <cp:contentStatus/>
</cp:coreProperties>
</file>